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DieseArbeitsmappe"/>
  <mc:AlternateContent xmlns:mc="http://schemas.openxmlformats.org/markup-compatibility/2006">
    <mc:Choice Requires="x15">
      <x15ac:absPath xmlns:x15ac="http://schemas.microsoft.com/office/spreadsheetml/2010/11/ac" url="S:\_An 11er bzw. auf Homepage\"/>
    </mc:Choice>
  </mc:AlternateContent>
  <xr:revisionPtr revIDLastSave="0" documentId="13_ncr:1_{0766AADA-30FE-461C-A7E2-310ED924355F}" xr6:coauthVersionLast="47" xr6:coauthVersionMax="47" xr10:uidLastSave="{00000000-0000-0000-0000-000000000000}"/>
  <workbookProtection workbookAlgorithmName="SHA-512" workbookHashValue="2sqWqDLQ8QnaxzpaUS0S4+3Mm1vLGEWMweTSZqWVVDCP7PDW2jW1aigpJocAy3MaVaQ61BtQL1EulVD0zBkoVg==" workbookSaltValue="h/lT3873phgwToogmQxVwA==" workbookSpinCount="100000" lockStructure="1"/>
  <bookViews>
    <workbookView xWindow="-120" yWindow="-120" windowWidth="38640" windowHeight="21240" tabRatio="631" firstSheet="1" activeTab="1" xr2:uid="{00000000-000D-0000-FFFF-FFFF00000000}"/>
  </bookViews>
  <sheets>
    <sheet name="F" sheetId="5" state="hidden" r:id="rId1"/>
    <sheet name="Wahlbogen" sheetId="6" r:id="rId2"/>
  </sheets>
  <definedNames>
    <definedName name="_xlnm.Print_Area" localSheetId="0">F!$A$1</definedName>
    <definedName name="_xlnm.Print_Area" localSheetId="1">Wahlbogen!$A$1:$D$106</definedName>
    <definedName name="Print_Area" localSheetId="1">Wahlbogen!$A$1:$F$33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3" i="6" l="1"/>
  <c r="Z83" i="6" s="1"/>
  <c r="T82" i="6"/>
  <c r="Z82" i="6" s="1"/>
  <c r="T81" i="6"/>
  <c r="Z81" i="6" s="1"/>
  <c r="S75" i="6"/>
  <c r="Y75" i="6" s="1"/>
  <c r="S74" i="6"/>
  <c r="Y74" i="6" s="1"/>
  <c r="T73" i="6"/>
  <c r="Z73" i="6" s="1"/>
  <c r="T72" i="6"/>
  <c r="Z72" i="6" s="1"/>
  <c r="T71" i="6"/>
  <c r="Z71" i="6" s="1"/>
  <c r="J6" i="6"/>
  <c r="M37" i="6" s="1"/>
  <c r="I37" i="6" s="1"/>
  <c r="J17" i="6"/>
  <c r="L17" i="6" s="1"/>
  <c r="J16" i="6"/>
  <c r="L16" i="6" s="1"/>
  <c r="J15" i="6"/>
  <c r="L15" i="6" s="1"/>
  <c r="K31" i="6"/>
  <c r="J31" i="6" s="1"/>
  <c r="K32" i="6"/>
  <c r="J32" i="6" s="1"/>
  <c r="K33" i="6"/>
  <c r="J33" i="6" s="1"/>
  <c r="K30" i="6"/>
  <c r="J30" i="6" s="1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K25" i="6"/>
  <c r="J25" i="6" s="1"/>
  <c r="K26" i="6"/>
  <c r="J26" i="6" s="1"/>
  <c r="K27" i="6"/>
  <c r="J27" i="6" s="1"/>
  <c r="K24" i="6"/>
  <c r="J24" i="6" s="1"/>
  <c r="AS194" i="5"/>
  <c r="BH194" i="5" s="1"/>
  <c r="AS195" i="5"/>
  <c r="BH195" i="5" s="1"/>
  <c r="AS196" i="5"/>
  <c r="BH196" i="5" s="1"/>
  <c r="AS197" i="5"/>
  <c r="BH197" i="5" s="1"/>
  <c r="AS198" i="5"/>
  <c r="BH198" i="5" s="1"/>
  <c r="AS193" i="5"/>
  <c r="BH193" i="5" s="1"/>
  <c r="I7" i="6"/>
  <c r="D7" i="6" s="1"/>
  <c r="I6" i="6"/>
  <c r="D6" i="6" s="1"/>
  <c r="M9" i="5"/>
  <c r="AS189" i="5"/>
  <c r="BH189" i="5" s="1"/>
  <c r="AS188" i="5"/>
  <c r="BH188" i="5" s="1"/>
  <c r="AS187" i="5"/>
  <c r="BH187" i="5" s="1"/>
  <c r="AS186" i="5"/>
  <c r="BH186" i="5" s="1"/>
  <c r="AS185" i="5"/>
  <c r="BH185" i="5" s="1"/>
  <c r="AS184" i="5"/>
  <c r="BH184" i="5" s="1"/>
  <c r="AS215" i="5"/>
  <c r="BH215" i="5" s="1"/>
  <c r="AS214" i="5"/>
  <c r="AX214" i="5" s="1"/>
  <c r="BC214" i="5" s="1"/>
  <c r="AS213" i="5"/>
  <c r="BH213" i="5" s="1"/>
  <c r="AS212" i="5"/>
  <c r="BH212" i="5" s="1"/>
  <c r="AS211" i="5"/>
  <c r="BH211" i="5" s="1"/>
  <c r="AS210" i="5"/>
  <c r="AX210" i="5" s="1"/>
  <c r="BC210" i="5" s="1"/>
  <c r="AS209" i="5"/>
  <c r="BH209" i="5" s="1"/>
  <c r="AS208" i="5"/>
  <c r="BH208" i="5" s="1"/>
  <c r="AS207" i="5"/>
  <c r="BH207" i="5" s="1"/>
  <c r="AS206" i="5"/>
  <c r="BH206" i="5" s="1"/>
  <c r="AS205" i="5"/>
  <c r="BH205" i="5" s="1"/>
  <c r="R206" i="5"/>
  <c r="R205" i="5"/>
  <c r="R204" i="5"/>
  <c r="R203" i="5"/>
  <c r="R202" i="5"/>
  <c r="R197" i="5"/>
  <c r="R196" i="5"/>
  <c r="R195" i="5"/>
  <c r="R194" i="5"/>
  <c r="R193" i="5"/>
  <c r="U248" i="5"/>
  <c r="T248" i="5"/>
  <c r="S248" i="5"/>
  <c r="R248" i="5"/>
  <c r="U247" i="5"/>
  <c r="T247" i="5"/>
  <c r="S247" i="5"/>
  <c r="R247" i="5"/>
  <c r="U246" i="5"/>
  <c r="T246" i="5"/>
  <c r="S246" i="5"/>
  <c r="R246" i="5"/>
  <c r="U245" i="5"/>
  <c r="T245" i="5"/>
  <c r="S245" i="5"/>
  <c r="R245" i="5"/>
  <c r="U244" i="5"/>
  <c r="T244" i="5"/>
  <c r="S244" i="5"/>
  <c r="R244" i="5"/>
  <c r="U243" i="5"/>
  <c r="T243" i="5"/>
  <c r="S243" i="5"/>
  <c r="R243" i="5"/>
  <c r="U242" i="5"/>
  <c r="T242" i="5"/>
  <c r="S242" i="5"/>
  <c r="R242" i="5"/>
  <c r="U241" i="5"/>
  <c r="T241" i="5"/>
  <c r="S241" i="5"/>
  <c r="R241" i="5"/>
  <c r="U240" i="5"/>
  <c r="T240" i="5"/>
  <c r="S240" i="5"/>
  <c r="R240" i="5"/>
  <c r="U153" i="5"/>
  <c r="T153" i="5"/>
  <c r="S153" i="5"/>
  <c r="R153" i="5"/>
  <c r="U152" i="5"/>
  <c r="T152" i="5"/>
  <c r="S152" i="5"/>
  <c r="R152" i="5"/>
  <c r="U151" i="5"/>
  <c r="T151" i="5"/>
  <c r="S151" i="5"/>
  <c r="R151" i="5"/>
  <c r="U150" i="5"/>
  <c r="T150" i="5"/>
  <c r="S150" i="5"/>
  <c r="R150" i="5"/>
  <c r="U149" i="5"/>
  <c r="T149" i="5"/>
  <c r="S149" i="5"/>
  <c r="R149" i="5"/>
  <c r="U148" i="5"/>
  <c r="T148" i="5"/>
  <c r="S148" i="5"/>
  <c r="R148" i="5"/>
  <c r="U147" i="5"/>
  <c r="T147" i="5"/>
  <c r="S147" i="5"/>
  <c r="R147" i="5"/>
  <c r="U146" i="5"/>
  <c r="T146" i="5"/>
  <c r="S146" i="5"/>
  <c r="R146" i="5"/>
  <c r="U145" i="5"/>
  <c r="T145" i="5"/>
  <c r="S145" i="5"/>
  <c r="R145" i="5"/>
  <c r="U144" i="5"/>
  <c r="T144" i="5"/>
  <c r="S144" i="5"/>
  <c r="R144" i="5"/>
  <c r="U143" i="5"/>
  <c r="T143" i="5"/>
  <c r="S143" i="5"/>
  <c r="R143" i="5"/>
  <c r="U142" i="5"/>
  <c r="T142" i="5"/>
  <c r="S142" i="5"/>
  <c r="R142" i="5"/>
  <c r="U116" i="5"/>
  <c r="T116" i="5"/>
  <c r="S116" i="5"/>
  <c r="R116" i="5"/>
  <c r="U115" i="5"/>
  <c r="T115" i="5"/>
  <c r="S115" i="5"/>
  <c r="R115" i="5"/>
  <c r="U114" i="5"/>
  <c r="T114" i="5"/>
  <c r="S114" i="5"/>
  <c r="R114" i="5"/>
  <c r="U113" i="5"/>
  <c r="T113" i="5"/>
  <c r="S113" i="5"/>
  <c r="R113" i="5"/>
  <c r="U112" i="5"/>
  <c r="T112" i="5"/>
  <c r="S112" i="5"/>
  <c r="R112" i="5"/>
  <c r="U111" i="5"/>
  <c r="T111" i="5"/>
  <c r="S111" i="5"/>
  <c r="R111" i="5"/>
  <c r="U110" i="5"/>
  <c r="T110" i="5"/>
  <c r="S110" i="5"/>
  <c r="R110" i="5"/>
  <c r="U109" i="5"/>
  <c r="T109" i="5"/>
  <c r="S109" i="5"/>
  <c r="R109" i="5"/>
  <c r="U108" i="5"/>
  <c r="T108" i="5"/>
  <c r="S108" i="5"/>
  <c r="R108" i="5"/>
  <c r="U107" i="5"/>
  <c r="T107" i="5"/>
  <c r="S107" i="5"/>
  <c r="R107" i="5"/>
  <c r="U106" i="5"/>
  <c r="T106" i="5"/>
  <c r="S106" i="5"/>
  <c r="R106" i="5"/>
  <c r="U105" i="5"/>
  <c r="T105" i="5"/>
  <c r="S105" i="5"/>
  <c r="R105" i="5"/>
  <c r="U104" i="5"/>
  <c r="T104" i="5"/>
  <c r="S104" i="5"/>
  <c r="R104" i="5"/>
  <c r="S70" i="5"/>
  <c r="T70" i="5"/>
  <c r="U70" i="5"/>
  <c r="S71" i="5"/>
  <c r="T71" i="5"/>
  <c r="U71" i="5"/>
  <c r="S72" i="5"/>
  <c r="T72" i="5"/>
  <c r="U72" i="5"/>
  <c r="S73" i="5"/>
  <c r="T73" i="5"/>
  <c r="U73" i="5"/>
  <c r="S74" i="5"/>
  <c r="T74" i="5"/>
  <c r="U74" i="5"/>
  <c r="S75" i="5"/>
  <c r="T75" i="5"/>
  <c r="U75" i="5"/>
  <c r="S76" i="5"/>
  <c r="T76" i="5"/>
  <c r="U76" i="5"/>
  <c r="S77" i="5"/>
  <c r="T77" i="5"/>
  <c r="U77" i="5"/>
  <c r="R70" i="5"/>
  <c r="R71" i="5"/>
  <c r="R72" i="5"/>
  <c r="R73" i="5"/>
  <c r="R74" i="5"/>
  <c r="R75" i="5"/>
  <c r="R76" i="5"/>
  <c r="R77" i="5"/>
  <c r="AS221" i="5"/>
  <c r="AX221" i="5" s="1"/>
  <c r="AT221" i="5"/>
  <c r="AY221" i="5" s="1"/>
  <c r="AU221" i="5"/>
  <c r="AZ221" i="5" s="1"/>
  <c r="AV221" i="5"/>
  <c r="BA221" i="5" s="1"/>
  <c r="AS222" i="5"/>
  <c r="AX222" i="5" s="1"/>
  <c r="AT222" i="5"/>
  <c r="AY222" i="5" s="1"/>
  <c r="AU222" i="5"/>
  <c r="AZ222" i="5" s="1"/>
  <c r="AV222" i="5"/>
  <c r="BA222" i="5" s="1"/>
  <c r="AS223" i="5"/>
  <c r="BH223" i="5" s="1"/>
  <c r="AT223" i="5"/>
  <c r="AU223" i="5"/>
  <c r="BJ223" i="5" s="1"/>
  <c r="AV223" i="5"/>
  <c r="BK223" i="5" s="1"/>
  <c r="AS224" i="5"/>
  <c r="AX224" i="5" s="1"/>
  <c r="AT224" i="5"/>
  <c r="AY224" i="5" s="1"/>
  <c r="AU224" i="5"/>
  <c r="BJ224" i="5" s="1"/>
  <c r="AV224" i="5"/>
  <c r="BK224" i="5" s="1"/>
  <c r="AS225" i="5"/>
  <c r="AX225" i="5" s="1"/>
  <c r="AT225" i="5"/>
  <c r="AY225" i="5" s="1"/>
  <c r="AU225" i="5"/>
  <c r="AZ225" i="5" s="1"/>
  <c r="AV225" i="5"/>
  <c r="BA225" i="5" s="1"/>
  <c r="AS226" i="5"/>
  <c r="BH226" i="5" s="1"/>
  <c r="AT226" i="5"/>
  <c r="AY226" i="5" s="1"/>
  <c r="AU226" i="5"/>
  <c r="AZ226" i="5" s="1"/>
  <c r="AV226" i="5"/>
  <c r="BA226" i="5" s="1"/>
  <c r="AS227" i="5"/>
  <c r="BH227" i="5" s="1"/>
  <c r="AT227" i="5"/>
  <c r="AY227" i="5" s="1"/>
  <c r="AU227" i="5"/>
  <c r="AZ227" i="5" s="1"/>
  <c r="AV227" i="5"/>
  <c r="BA227" i="5" s="1"/>
  <c r="AS228" i="5"/>
  <c r="AX228" i="5" s="1"/>
  <c r="BC228" i="5" s="1"/>
  <c r="AT228" i="5"/>
  <c r="AY228" i="5" s="1"/>
  <c r="AU228" i="5"/>
  <c r="AZ228" i="5" s="1"/>
  <c r="AV228" i="5"/>
  <c r="BA228" i="5" s="1"/>
  <c r="AS229" i="5"/>
  <c r="BH229" i="5" s="1"/>
  <c r="AT229" i="5"/>
  <c r="AU229" i="5"/>
  <c r="BJ229" i="5" s="1"/>
  <c r="AV229" i="5"/>
  <c r="BK229" i="5" s="1"/>
  <c r="AS230" i="5"/>
  <c r="AX230" i="5" s="1"/>
  <c r="BC230" i="5" s="1"/>
  <c r="AT230" i="5"/>
  <c r="AY230" i="5" s="1"/>
  <c r="BD230" i="5" s="1"/>
  <c r="AU230" i="5"/>
  <c r="BJ230" i="5" s="1"/>
  <c r="AV230" i="5"/>
  <c r="BK230" i="5" s="1"/>
  <c r="AS231" i="5"/>
  <c r="AX231" i="5" s="1"/>
  <c r="BC231" i="5" s="1"/>
  <c r="AT231" i="5"/>
  <c r="AY231" i="5" s="1"/>
  <c r="BD231" i="5" s="1"/>
  <c r="AU231" i="5"/>
  <c r="AZ231" i="5" s="1"/>
  <c r="BE231" i="5" s="1"/>
  <c r="AV231" i="5"/>
  <c r="BA231" i="5" s="1"/>
  <c r="BF231" i="5" s="1"/>
  <c r="AS232" i="5"/>
  <c r="BH232" i="5" s="1"/>
  <c r="AT232" i="5"/>
  <c r="AY232" i="5" s="1"/>
  <c r="AU232" i="5"/>
  <c r="AZ232" i="5" s="1"/>
  <c r="AV232" i="5"/>
  <c r="BA232" i="5" s="1"/>
  <c r="AS233" i="5"/>
  <c r="BH233" i="5" s="1"/>
  <c r="AT233" i="5"/>
  <c r="AY233" i="5" s="1"/>
  <c r="AU233" i="5"/>
  <c r="AZ233" i="5" s="1"/>
  <c r="AV233" i="5"/>
  <c r="BA233" i="5" s="1"/>
  <c r="AS234" i="5"/>
  <c r="AX234" i="5" s="1"/>
  <c r="AT234" i="5"/>
  <c r="AY234" i="5" s="1"/>
  <c r="AU234" i="5"/>
  <c r="AZ234" i="5" s="1"/>
  <c r="AV234" i="5"/>
  <c r="BA234" i="5" s="1"/>
  <c r="AS235" i="5"/>
  <c r="AX235" i="5" s="1"/>
  <c r="AT235" i="5"/>
  <c r="BI235" i="5" s="1"/>
  <c r="AU235" i="5"/>
  <c r="AV235" i="5"/>
  <c r="BK235" i="5" s="1"/>
  <c r="AS236" i="5"/>
  <c r="AX236" i="5" s="1"/>
  <c r="BC236" i="5" s="1"/>
  <c r="AT236" i="5"/>
  <c r="AY236" i="5" s="1"/>
  <c r="BD236" i="5" s="1"/>
  <c r="AU236" i="5"/>
  <c r="BJ236" i="5" s="1"/>
  <c r="AV236" i="5"/>
  <c r="BK236" i="5" s="1"/>
  <c r="AS237" i="5"/>
  <c r="AX237" i="5" s="1"/>
  <c r="BC237" i="5" s="1"/>
  <c r="AT237" i="5"/>
  <c r="AY237" i="5" s="1"/>
  <c r="BD237" i="5" s="1"/>
  <c r="AU237" i="5"/>
  <c r="BJ237" i="5" s="1"/>
  <c r="AV237" i="5"/>
  <c r="BK237" i="5" s="1"/>
  <c r="AS238" i="5"/>
  <c r="BH238" i="5" s="1"/>
  <c r="AT238" i="5"/>
  <c r="AY238" i="5" s="1"/>
  <c r="BD238" i="5" s="1"/>
  <c r="AU238" i="5"/>
  <c r="AZ238" i="5" s="1"/>
  <c r="BE238" i="5" s="1"/>
  <c r="AV238" i="5"/>
  <c r="BA238" i="5" s="1"/>
  <c r="BF238" i="5" s="1"/>
  <c r="AS239" i="5"/>
  <c r="BH239" i="5" s="1"/>
  <c r="AT239" i="5"/>
  <c r="AY239" i="5" s="1"/>
  <c r="BD239" i="5" s="1"/>
  <c r="AU239" i="5"/>
  <c r="AZ239" i="5" s="1"/>
  <c r="BE239" i="5" s="1"/>
  <c r="AV239" i="5"/>
  <c r="BA239" i="5" s="1"/>
  <c r="BF239" i="5" s="1"/>
  <c r="AV220" i="5"/>
  <c r="BK220" i="5" s="1"/>
  <c r="AU220" i="5"/>
  <c r="BJ220" i="5" s="1"/>
  <c r="AT220" i="5"/>
  <c r="BI220" i="5" s="1"/>
  <c r="AS220" i="5"/>
  <c r="BH220" i="5" s="1"/>
  <c r="AS160" i="5"/>
  <c r="AX160" i="5" s="1"/>
  <c r="AT160" i="5"/>
  <c r="AY160" i="5" s="1"/>
  <c r="AU160" i="5"/>
  <c r="AZ160" i="5" s="1"/>
  <c r="AV160" i="5"/>
  <c r="BA160" i="5" s="1"/>
  <c r="AS161" i="5"/>
  <c r="AX161" i="5" s="1"/>
  <c r="AT161" i="5"/>
  <c r="AY161" i="5" s="1"/>
  <c r="AU161" i="5"/>
  <c r="AZ161" i="5" s="1"/>
  <c r="AV161" i="5"/>
  <c r="BA161" i="5" s="1"/>
  <c r="AS162" i="5"/>
  <c r="BH162" i="5" s="1"/>
  <c r="AT162" i="5"/>
  <c r="BI162" i="5" s="1"/>
  <c r="AU162" i="5"/>
  <c r="BJ162" i="5" s="1"/>
  <c r="AV162" i="5"/>
  <c r="BK162" i="5" s="1"/>
  <c r="AS163" i="5"/>
  <c r="AX163" i="5" s="1"/>
  <c r="AT163" i="5"/>
  <c r="AY163" i="5" s="1"/>
  <c r="AU163" i="5"/>
  <c r="BJ163" i="5" s="1"/>
  <c r="AV163" i="5"/>
  <c r="BK163" i="5" s="1"/>
  <c r="AS164" i="5"/>
  <c r="AX164" i="5" s="1"/>
  <c r="AT164" i="5"/>
  <c r="AY164" i="5" s="1"/>
  <c r="AU164" i="5"/>
  <c r="AV164" i="5"/>
  <c r="BA164" i="5" s="1"/>
  <c r="AS165" i="5"/>
  <c r="BH165" i="5" s="1"/>
  <c r="AT165" i="5"/>
  <c r="AY165" i="5" s="1"/>
  <c r="AU165" i="5"/>
  <c r="AZ165" i="5" s="1"/>
  <c r="AV165" i="5"/>
  <c r="BA165" i="5" s="1"/>
  <c r="AS166" i="5"/>
  <c r="BH166" i="5" s="1"/>
  <c r="AT166" i="5"/>
  <c r="AY166" i="5" s="1"/>
  <c r="AU166" i="5"/>
  <c r="BJ166" i="5" s="1"/>
  <c r="AV166" i="5"/>
  <c r="BA166" i="5" s="1"/>
  <c r="AS167" i="5"/>
  <c r="AT167" i="5"/>
  <c r="AY167" i="5" s="1"/>
  <c r="AU167" i="5"/>
  <c r="AZ167" i="5" s="1"/>
  <c r="AV167" i="5"/>
  <c r="BA167" i="5" s="1"/>
  <c r="AS168" i="5"/>
  <c r="AX168" i="5" s="1"/>
  <c r="AT168" i="5"/>
  <c r="BI168" i="5" s="1"/>
  <c r="AU168" i="5"/>
  <c r="BJ168" i="5" s="1"/>
  <c r="AV168" i="5"/>
  <c r="BK168" i="5" s="1"/>
  <c r="AS169" i="5"/>
  <c r="BH169" i="5" s="1"/>
  <c r="AT169" i="5"/>
  <c r="AY169" i="5" s="1"/>
  <c r="AU169" i="5"/>
  <c r="BJ169" i="5" s="1"/>
  <c r="AV169" i="5"/>
  <c r="BK169" i="5" s="1"/>
  <c r="AS170" i="5"/>
  <c r="AX170" i="5" s="1"/>
  <c r="BC170" i="5" s="1"/>
  <c r="AT170" i="5"/>
  <c r="AY170" i="5" s="1"/>
  <c r="BD170" i="5" s="1"/>
  <c r="AU170" i="5"/>
  <c r="AV170" i="5"/>
  <c r="BA170" i="5" s="1"/>
  <c r="BF170" i="5" s="1"/>
  <c r="AS171" i="5"/>
  <c r="BH171" i="5" s="1"/>
  <c r="AT171" i="5"/>
  <c r="AY171" i="5" s="1"/>
  <c r="AU171" i="5"/>
  <c r="AZ171" i="5" s="1"/>
  <c r="AV171" i="5"/>
  <c r="BA171" i="5" s="1"/>
  <c r="AS172" i="5"/>
  <c r="BH172" i="5" s="1"/>
  <c r="AT172" i="5"/>
  <c r="AY172" i="5" s="1"/>
  <c r="AU172" i="5"/>
  <c r="BJ172" i="5" s="1"/>
  <c r="AV172" i="5"/>
  <c r="BA172" i="5" s="1"/>
  <c r="AS173" i="5"/>
  <c r="AX173" i="5" s="1"/>
  <c r="AT173" i="5"/>
  <c r="AY173" i="5" s="1"/>
  <c r="AU173" i="5"/>
  <c r="AZ173" i="5" s="1"/>
  <c r="AV173" i="5"/>
  <c r="BA173" i="5" s="1"/>
  <c r="AS174" i="5"/>
  <c r="AX174" i="5" s="1"/>
  <c r="AT174" i="5"/>
  <c r="BI174" i="5" s="1"/>
  <c r="AU174" i="5"/>
  <c r="BJ174" i="5" s="1"/>
  <c r="AV174" i="5"/>
  <c r="BK174" i="5" s="1"/>
  <c r="AS175" i="5"/>
  <c r="BH175" i="5" s="1"/>
  <c r="AT175" i="5"/>
  <c r="BI175" i="5" s="1"/>
  <c r="AU175" i="5"/>
  <c r="BJ175" i="5" s="1"/>
  <c r="AV175" i="5"/>
  <c r="BK175" i="5" s="1"/>
  <c r="AS176" i="5"/>
  <c r="AX176" i="5" s="1"/>
  <c r="AT176" i="5"/>
  <c r="AY176" i="5" s="1"/>
  <c r="AU176" i="5"/>
  <c r="AV176" i="5"/>
  <c r="BA176" i="5" s="1"/>
  <c r="AS177" i="5"/>
  <c r="BH177" i="5" s="1"/>
  <c r="AT177" i="5"/>
  <c r="AY177" i="5" s="1"/>
  <c r="BD177" i="5" s="1"/>
  <c r="AU177" i="5"/>
  <c r="AZ177" i="5" s="1"/>
  <c r="BE177" i="5" s="1"/>
  <c r="AV177" i="5"/>
  <c r="BA177" i="5" s="1"/>
  <c r="BF177" i="5" s="1"/>
  <c r="AS178" i="5"/>
  <c r="BH178" i="5" s="1"/>
  <c r="AT178" i="5"/>
  <c r="AY178" i="5" s="1"/>
  <c r="BD178" i="5" s="1"/>
  <c r="AU178" i="5"/>
  <c r="AZ178" i="5" s="1"/>
  <c r="BE178" i="5" s="1"/>
  <c r="AV178" i="5"/>
  <c r="BA178" i="5" s="1"/>
  <c r="BF178" i="5" s="1"/>
  <c r="AV159" i="5"/>
  <c r="BK159" i="5" s="1"/>
  <c r="AU159" i="5"/>
  <c r="BJ159" i="5" s="1"/>
  <c r="AT159" i="5"/>
  <c r="BI159" i="5" s="1"/>
  <c r="AS159" i="5"/>
  <c r="BH159" i="5" s="1"/>
  <c r="AS123" i="5"/>
  <c r="AX123" i="5" s="1"/>
  <c r="AT123" i="5"/>
  <c r="AY123" i="5" s="1"/>
  <c r="AU123" i="5"/>
  <c r="AZ123" i="5" s="1"/>
  <c r="AV123" i="5"/>
  <c r="BA123" i="5" s="1"/>
  <c r="AS124" i="5"/>
  <c r="AX124" i="5" s="1"/>
  <c r="AT124" i="5"/>
  <c r="AY124" i="5" s="1"/>
  <c r="AU124" i="5"/>
  <c r="AZ124" i="5" s="1"/>
  <c r="AV124" i="5"/>
  <c r="BA124" i="5" s="1"/>
  <c r="AS125" i="5"/>
  <c r="BH125" i="5" s="1"/>
  <c r="AT125" i="5"/>
  <c r="BI125" i="5" s="1"/>
  <c r="AU125" i="5"/>
  <c r="BJ125" i="5" s="1"/>
  <c r="AV125" i="5"/>
  <c r="BK125" i="5" s="1"/>
  <c r="AS126" i="5"/>
  <c r="AX126" i="5" s="1"/>
  <c r="AT126" i="5"/>
  <c r="AU126" i="5"/>
  <c r="BJ126" i="5" s="1"/>
  <c r="AV126" i="5"/>
  <c r="BK126" i="5" s="1"/>
  <c r="AS127" i="5"/>
  <c r="AX127" i="5" s="1"/>
  <c r="AT127" i="5"/>
  <c r="AY127" i="5" s="1"/>
  <c r="AU127" i="5"/>
  <c r="AZ127" i="5" s="1"/>
  <c r="AV127" i="5"/>
  <c r="BA127" i="5" s="1"/>
  <c r="AS128" i="5"/>
  <c r="AX128" i="5" s="1"/>
  <c r="AT128" i="5"/>
  <c r="BI128" i="5" s="1"/>
  <c r="AU128" i="5"/>
  <c r="AZ128" i="5" s="1"/>
  <c r="AV128" i="5"/>
  <c r="BA128" i="5" s="1"/>
  <c r="AS129" i="5"/>
  <c r="AX129" i="5" s="1"/>
  <c r="AT129" i="5"/>
  <c r="AY129" i="5" s="1"/>
  <c r="AU129" i="5"/>
  <c r="BJ129" i="5" s="1"/>
  <c r="AV129" i="5"/>
  <c r="BA129" i="5" s="1"/>
  <c r="AS130" i="5"/>
  <c r="AX130" i="5" s="1"/>
  <c r="AT130" i="5"/>
  <c r="AY130" i="5" s="1"/>
  <c r="AU130" i="5"/>
  <c r="AZ130" i="5" s="1"/>
  <c r="AV130" i="5"/>
  <c r="BA130" i="5" s="1"/>
  <c r="AS131" i="5"/>
  <c r="BH131" i="5" s="1"/>
  <c r="AT131" i="5"/>
  <c r="BI131" i="5" s="1"/>
  <c r="AU131" i="5"/>
  <c r="BJ131" i="5" s="1"/>
  <c r="AV131" i="5"/>
  <c r="BK131" i="5" s="1"/>
  <c r="AS132" i="5"/>
  <c r="AX132" i="5" s="1"/>
  <c r="AT132" i="5"/>
  <c r="BI132" i="5" s="1"/>
  <c r="AU132" i="5"/>
  <c r="BJ132" i="5" s="1"/>
  <c r="AV132" i="5"/>
  <c r="BK132" i="5" s="1"/>
  <c r="AS133" i="5"/>
  <c r="AX133" i="5" s="1"/>
  <c r="AT133" i="5"/>
  <c r="AY133" i="5" s="1"/>
  <c r="AU133" i="5"/>
  <c r="AZ133" i="5" s="1"/>
  <c r="BE133" i="5" s="1"/>
  <c r="AV133" i="5"/>
  <c r="BK133" i="5" s="1"/>
  <c r="AS134" i="5"/>
  <c r="BH134" i="5" s="1"/>
  <c r="AT134" i="5"/>
  <c r="AY134" i="5" s="1"/>
  <c r="AU134" i="5"/>
  <c r="BJ134" i="5" s="1"/>
  <c r="AV134" i="5"/>
  <c r="AS135" i="5"/>
  <c r="AX135" i="5" s="1"/>
  <c r="AT135" i="5"/>
  <c r="AY135" i="5" s="1"/>
  <c r="AU135" i="5"/>
  <c r="AZ135" i="5" s="1"/>
  <c r="AV135" i="5"/>
  <c r="BA135" i="5" s="1"/>
  <c r="AS136" i="5"/>
  <c r="AX136" i="5" s="1"/>
  <c r="AT136" i="5"/>
  <c r="AY136" i="5" s="1"/>
  <c r="AU136" i="5"/>
  <c r="AZ136" i="5" s="1"/>
  <c r="AV136" i="5"/>
  <c r="BA136" i="5" s="1"/>
  <c r="AS137" i="5"/>
  <c r="BH137" i="5" s="1"/>
  <c r="AT137" i="5"/>
  <c r="BI137" i="5" s="1"/>
  <c r="AU137" i="5"/>
  <c r="AV137" i="5"/>
  <c r="AS138" i="5"/>
  <c r="AX138" i="5" s="1"/>
  <c r="BC138" i="5" s="1"/>
  <c r="AT138" i="5"/>
  <c r="BI138" i="5" s="1"/>
  <c r="AU138" i="5"/>
  <c r="BJ138" i="5" s="1"/>
  <c r="AV138" i="5"/>
  <c r="BK138" i="5" s="1"/>
  <c r="AS139" i="5"/>
  <c r="AX139" i="5" s="1"/>
  <c r="AT139" i="5"/>
  <c r="AY139" i="5" s="1"/>
  <c r="AU139" i="5"/>
  <c r="AV139" i="5"/>
  <c r="BK139" i="5" s="1"/>
  <c r="AS140" i="5"/>
  <c r="AT140" i="5"/>
  <c r="AU140" i="5"/>
  <c r="AZ140" i="5" s="1"/>
  <c r="BE140" i="5" s="1"/>
  <c r="AV140" i="5"/>
  <c r="BA140" i="5" s="1"/>
  <c r="BF140" i="5" s="1"/>
  <c r="AS141" i="5"/>
  <c r="BH141" i="5" s="1"/>
  <c r="AT141" i="5"/>
  <c r="BI141" i="5" s="1"/>
  <c r="AU141" i="5"/>
  <c r="AZ141" i="5" s="1"/>
  <c r="BE141" i="5" s="1"/>
  <c r="AV141" i="5"/>
  <c r="BA141" i="5" s="1"/>
  <c r="BF141" i="5" s="1"/>
  <c r="AV122" i="5"/>
  <c r="BK122" i="5" s="1"/>
  <c r="AU122" i="5"/>
  <c r="BJ122" i="5" s="1"/>
  <c r="AT122" i="5"/>
  <c r="BI122" i="5" s="1"/>
  <c r="AS122" i="5"/>
  <c r="BH122" i="5" s="1"/>
  <c r="AS85" i="5"/>
  <c r="AX85" i="5" s="1"/>
  <c r="AT85" i="5"/>
  <c r="AY85" i="5" s="1"/>
  <c r="AU85" i="5"/>
  <c r="AZ85" i="5" s="1"/>
  <c r="AV85" i="5"/>
  <c r="BA85" i="5" s="1"/>
  <c r="AS86" i="5"/>
  <c r="AX86" i="5" s="1"/>
  <c r="AT86" i="5"/>
  <c r="AY86" i="5" s="1"/>
  <c r="AU86" i="5"/>
  <c r="AZ86" i="5" s="1"/>
  <c r="AV86" i="5"/>
  <c r="BA86" i="5" s="1"/>
  <c r="AS87" i="5"/>
  <c r="BH87" i="5" s="1"/>
  <c r="AT87" i="5"/>
  <c r="BI87" i="5" s="1"/>
  <c r="AU87" i="5"/>
  <c r="BJ87" i="5" s="1"/>
  <c r="AV87" i="5"/>
  <c r="BK87" i="5" s="1"/>
  <c r="AS88" i="5"/>
  <c r="BH88" i="5" s="1"/>
  <c r="AT88" i="5"/>
  <c r="BI88" i="5" s="1"/>
  <c r="AU88" i="5"/>
  <c r="BJ88" i="5" s="1"/>
  <c r="AV88" i="5"/>
  <c r="BK88" i="5" s="1"/>
  <c r="AS89" i="5"/>
  <c r="AX89" i="5" s="1"/>
  <c r="AT89" i="5"/>
  <c r="AY89" i="5" s="1"/>
  <c r="AU89" i="5"/>
  <c r="AZ89" i="5" s="1"/>
  <c r="AV89" i="5"/>
  <c r="AS90" i="5"/>
  <c r="AX90" i="5" s="1"/>
  <c r="AT90" i="5"/>
  <c r="BI90" i="5" s="1"/>
  <c r="AU90" i="5"/>
  <c r="AV90" i="5"/>
  <c r="BA90" i="5" s="1"/>
  <c r="AS91" i="5"/>
  <c r="AT91" i="5"/>
  <c r="AY91" i="5" s="1"/>
  <c r="AU91" i="5"/>
  <c r="BJ91" i="5" s="1"/>
  <c r="AV91" i="5"/>
  <c r="BK91" i="5" s="1"/>
  <c r="AS92" i="5"/>
  <c r="AX92" i="5" s="1"/>
  <c r="AT92" i="5"/>
  <c r="AY92" i="5" s="1"/>
  <c r="AU92" i="5"/>
  <c r="AZ92" i="5" s="1"/>
  <c r="AV92" i="5"/>
  <c r="BA92" i="5" s="1"/>
  <c r="AS93" i="5"/>
  <c r="BH93" i="5" s="1"/>
  <c r="AT93" i="5"/>
  <c r="BI93" i="5" s="1"/>
  <c r="AU93" i="5"/>
  <c r="BJ93" i="5" s="1"/>
  <c r="AV93" i="5"/>
  <c r="BK93" i="5" s="1"/>
  <c r="AS94" i="5"/>
  <c r="BH94" i="5" s="1"/>
  <c r="AT94" i="5"/>
  <c r="AU94" i="5"/>
  <c r="AV94" i="5"/>
  <c r="BK94" i="5" s="1"/>
  <c r="AS95" i="5"/>
  <c r="AT95" i="5"/>
  <c r="AY95" i="5" s="1"/>
  <c r="AU95" i="5"/>
  <c r="AZ95" i="5" s="1"/>
  <c r="BE95" i="5" s="1"/>
  <c r="AV95" i="5"/>
  <c r="BA95" i="5" s="1"/>
  <c r="AS96" i="5"/>
  <c r="AX96" i="5" s="1"/>
  <c r="AT96" i="5"/>
  <c r="AY96" i="5" s="1"/>
  <c r="AU96" i="5"/>
  <c r="AV96" i="5"/>
  <c r="BA96" i="5" s="1"/>
  <c r="AS97" i="5"/>
  <c r="BH97" i="5" s="1"/>
  <c r="AT97" i="5"/>
  <c r="AU97" i="5"/>
  <c r="BJ97" i="5" s="1"/>
  <c r="AV97" i="5"/>
  <c r="BA97" i="5" s="1"/>
  <c r="AS98" i="5"/>
  <c r="AX98" i="5" s="1"/>
  <c r="AT98" i="5"/>
  <c r="AY98" i="5" s="1"/>
  <c r="AU98" i="5"/>
  <c r="AZ98" i="5" s="1"/>
  <c r="AV98" i="5"/>
  <c r="BA98" i="5" s="1"/>
  <c r="AS99" i="5"/>
  <c r="BH99" i="5" s="1"/>
  <c r="AT99" i="5"/>
  <c r="BI99" i="5" s="1"/>
  <c r="AU99" i="5"/>
  <c r="BJ99" i="5" s="1"/>
  <c r="AV99" i="5"/>
  <c r="BK99" i="5" s="1"/>
  <c r="AS100" i="5"/>
  <c r="AX100" i="5" s="1"/>
  <c r="AT100" i="5"/>
  <c r="AU100" i="5"/>
  <c r="BJ100" i="5" s="1"/>
  <c r="AV100" i="5"/>
  <c r="BK100" i="5" s="1"/>
  <c r="AS101" i="5"/>
  <c r="AX101" i="5" s="1"/>
  <c r="AT101" i="5"/>
  <c r="AY101" i="5" s="1"/>
  <c r="AU101" i="5"/>
  <c r="AZ101" i="5" s="1"/>
  <c r="AV101" i="5"/>
  <c r="BK101" i="5" s="1"/>
  <c r="AS102" i="5"/>
  <c r="BH102" i="5" s="1"/>
  <c r="AT102" i="5"/>
  <c r="AY102" i="5" s="1"/>
  <c r="BD102" i="5" s="1"/>
  <c r="AU102" i="5"/>
  <c r="AV102" i="5"/>
  <c r="BA102" i="5" s="1"/>
  <c r="BF102" i="5" s="1"/>
  <c r="AS103" i="5"/>
  <c r="BH103" i="5" s="1"/>
  <c r="AT103" i="5"/>
  <c r="AY103" i="5" s="1"/>
  <c r="BD103" i="5" s="1"/>
  <c r="AU103" i="5"/>
  <c r="AZ103" i="5" s="1"/>
  <c r="BE103" i="5" s="1"/>
  <c r="AV103" i="5"/>
  <c r="BA103" i="5" s="1"/>
  <c r="BF103" i="5" s="1"/>
  <c r="AV84" i="5"/>
  <c r="BK84" i="5" s="1"/>
  <c r="AU84" i="5"/>
  <c r="BJ84" i="5" s="1"/>
  <c r="AT84" i="5"/>
  <c r="BI84" i="5" s="1"/>
  <c r="AS84" i="5"/>
  <c r="BH84" i="5" s="1"/>
  <c r="AS51" i="5"/>
  <c r="AT51" i="5"/>
  <c r="AY51" i="5" s="1"/>
  <c r="AU51" i="5"/>
  <c r="AZ51" i="5" s="1"/>
  <c r="AV51" i="5"/>
  <c r="AS52" i="5"/>
  <c r="AX52" i="5" s="1"/>
  <c r="AT52" i="5"/>
  <c r="AY52" i="5" s="1"/>
  <c r="AU52" i="5"/>
  <c r="AZ52" i="5" s="1"/>
  <c r="AV52" i="5"/>
  <c r="BA52" i="5" s="1"/>
  <c r="AS53" i="5"/>
  <c r="BH53" i="5" s="1"/>
  <c r="AT53" i="5"/>
  <c r="BI53" i="5" s="1"/>
  <c r="AU53" i="5"/>
  <c r="BJ53" i="5" s="1"/>
  <c r="AV53" i="5"/>
  <c r="BK53" i="5" s="1"/>
  <c r="AS54" i="5"/>
  <c r="BH54" i="5" s="1"/>
  <c r="AT54" i="5"/>
  <c r="BI54" i="5" s="1"/>
  <c r="AU54" i="5"/>
  <c r="BJ54" i="5" s="1"/>
  <c r="AV54" i="5"/>
  <c r="BK54" i="5" s="1"/>
  <c r="AS55" i="5"/>
  <c r="AX55" i="5" s="1"/>
  <c r="BC55" i="5" s="1"/>
  <c r="AT55" i="5"/>
  <c r="AU55" i="5"/>
  <c r="BJ55" i="5" s="1"/>
  <c r="AV55" i="5"/>
  <c r="AS56" i="5"/>
  <c r="AX56" i="5" s="1"/>
  <c r="AT56" i="5"/>
  <c r="AY56" i="5" s="1"/>
  <c r="AU56" i="5"/>
  <c r="AZ56" i="5" s="1"/>
  <c r="AV56" i="5"/>
  <c r="AS57" i="5"/>
  <c r="BH57" i="5" s="1"/>
  <c r="AT57" i="5"/>
  <c r="AY57" i="5" s="1"/>
  <c r="AU57" i="5"/>
  <c r="AV57" i="5"/>
  <c r="BK57" i="5" s="1"/>
  <c r="AS58" i="5"/>
  <c r="AX58" i="5" s="1"/>
  <c r="AT58" i="5"/>
  <c r="AY58" i="5" s="1"/>
  <c r="AU58" i="5"/>
  <c r="AZ58" i="5" s="1"/>
  <c r="AV58" i="5"/>
  <c r="BA58" i="5" s="1"/>
  <c r="AS59" i="5"/>
  <c r="BH59" i="5" s="1"/>
  <c r="AT59" i="5"/>
  <c r="BI59" i="5" s="1"/>
  <c r="AU59" i="5"/>
  <c r="BJ59" i="5" s="1"/>
  <c r="AV59" i="5"/>
  <c r="AS60" i="5"/>
  <c r="BH60" i="5" s="1"/>
  <c r="AT60" i="5"/>
  <c r="BI60" i="5" s="1"/>
  <c r="AU60" i="5"/>
  <c r="BJ60" i="5" s="1"/>
  <c r="AV60" i="5"/>
  <c r="BK60" i="5" s="1"/>
  <c r="AS61" i="5"/>
  <c r="AX61" i="5" s="1"/>
  <c r="AT61" i="5"/>
  <c r="AY61" i="5" s="1"/>
  <c r="AU61" i="5"/>
  <c r="AZ61" i="5" s="1"/>
  <c r="BE61" i="5" s="1"/>
  <c r="AV61" i="5"/>
  <c r="BA61" i="5" s="1"/>
  <c r="AS62" i="5"/>
  <c r="BH62" i="5" s="1"/>
  <c r="AT62" i="5"/>
  <c r="AY62" i="5" s="1"/>
  <c r="AU62" i="5"/>
  <c r="AZ62" i="5" s="1"/>
  <c r="BE62" i="5" s="1"/>
  <c r="AV62" i="5"/>
  <c r="BA62" i="5" s="1"/>
  <c r="AS63" i="5"/>
  <c r="BH63" i="5" s="1"/>
  <c r="AT63" i="5"/>
  <c r="AY63" i="5" s="1"/>
  <c r="AU63" i="5"/>
  <c r="AZ63" i="5" s="1"/>
  <c r="BE63" i="5" s="1"/>
  <c r="AV63" i="5"/>
  <c r="BA63" i="5" s="1"/>
  <c r="AS64" i="5"/>
  <c r="AX64" i="5" s="1"/>
  <c r="AT64" i="5"/>
  <c r="AY64" i="5" s="1"/>
  <c r="AU64" i="5"/>
  <c r="AZ64" i="5" s="1"/>
  <c r="BE64" i="5" s="1"/>
  <c r="AV64" i="5"/>
  <c r="BA64" i="5" s="1"/>
  <c r="AS65" i="5"/>
  <c r="AT65" i="5"/>
  <c r="BI65" i="5" s="1"/>
  <c r="AU65" i="5"/>
  <c r="BJ65" i="5" s="1"/>
  <c r="AV65" i="5"/>
  <c r="BK65" i="5" s="1"/>
  <c r="AS66" i="5"/>
  <c r="BH66" i="5" s="1"/>
  <c r="AT66" i="5"/>
  <c r="BI66" i="5" s="1"/>
  <c r="AU66" i="5"/>
  <c r="BJ66" i="5" s="1"/>
  <c r="AV66" i="5"/>
  <c r="BK66" i="5" s="1"/>
  <c r="AS67" i="5"/>
  <c r="AX67" i="5" s="1"/>
  <c r="BC67" i="5" s="1"/>
  <c r="AT67" i="5"/>
  <c r="BI67" i="5" s="1"/>
  <c r="AU67" i="5"/>
  <c r="AZ67" i="5" s="1"/>
  <c r="BE67" i="5" s="1"/>
  <c r="AV67" i="5"/>
  <c r="BA67" i="5" s="1"/>
  <c r="BF67" i="5" s="1"/>
  <c r="AS68" i="5"/>
  <c r="BH68" i="5" s="1"/>
  <c r="AT68" i="5"/>
  <c r="AY68" i="5" s="1"/>
  <c r="BD68" i="5" s="1"/>
  <c r="AU68" i="5"/>
  <c r="BJ68" i="5" s="1"/>
  <c r="AV68" i="5"/>
  <c r="BA68" i="5" s="1"/>
  <c r="BF68" i="5" s="1"/>
  <c r="AS69" i="5"/>
  <c r="BH69" i="5" s="1"/>
  <c r="AT69" i="5"/>
  <c r="BI69" i="5" s="1"/>
  <c r="AU69" i="5"/>
  <c r="AZ69" i="5" s="1"/>
  <c r="BE69" i="5" s="1"/>
  <c r="AV69" i="5"/>
  <c r="BA69" i="5" s="1"/>
  <c r="BF69" i="5" s="1"/>
  <c r="AV50" i="5"/>
  <c r="BK50" i="5" s="1"/>
  <c r="AU50" i="5"/>
  <c r="BJ50" i="5" s="1"/>
  <c r="AT50" i="5"/>
  <c r="AS50" i="5"/>
  <c r="BH50" i="5" s="1"/>
  <c r="AS26" i="5"/>
  <c r="BH26" i="5" s="1"/>
  <c r="AT26" i="5"/>
  <c r="AY26" i="5" s="1"/>
  <c r="AU26" i="5"/>
  <c r="AZ26" i="5" s="1"/>
  <c r="AV26" i="5"/>
  <c r="BK26" i="5" s="1"/>
  <c r="AS27" i="5"/>
  <c r="BH27" i="5" s="1"/>
  <c r="AT27" i="5"/>
  <c r="BI27" i="5" s="1"/>
  <c r="AU27" i="5"/>
  <c r="BJ27" i="5" s="1"/>
  <c r="AV27" i="5"/>
  <c r="BK27" i="5" s="1"/>
  <c r="AS28" i="5"/>
  <c r="BH28" i="5" s="1"/>
  <c r="AT28" i="5"/>
  <c r="AY28" i="5" s="1"/>
  <c r="BD28" i="5" s="1"/>
  <c r="AU28" i="5"/>
  <c r="AZ28" i="5" s="1"/>
  <c r="AV28" i="5"/>
  <c r="BA28" i="5" s="1"/>
  <c r="AS29" i="5"/>
  <c r="BH29" i="5" s="1"/>
  <c r="AT29" i="5"/>
  <c r="BI29" i="5" s="1"/>
  <c r="AU29" i="5"/>
  <c r="BJ29" i="5" s="1"/>
  <c r="AV29" i="5"/>
  <c r="BK29" i="5" s="1"/>
  <c r="AS30" i="5"/>
  <c r="AT30" i="5"/>
  <c r="AY30" i="5" s="1"/>
  <c r="BD30" i="5" s="1"/>
  <c r="AU30" i="5"/>
  <c r="BJ30" i="5" s="1"/>
  <c r="AV30" i="5"/>
  <c r="BK30" i="5" s="1"/>
  <c r="AS31" i="5"/>
  <c r="BH31" i="5" s="1"/>
  <c r="AT31" i="5"/>
  <c r="BI31" i="5" s="1"/>
  <c r="AU31" i="5"/>
  <c r="BJ31" i="5" s="1"/>
  <c r="AV31" i="5"/>
  <c r="BA31" i="5" s="1"/>
  <c r="AS32" i="5"/>
  <c r="AX32" i="5" s="1"/>
  <c r="BC32" i="5" s="1"/>
  <c r="AT32" i="5"/>
  <c r="AY32" i="5" s="1"/>
  <c r="BD32" i="5" s="1"/>
  <c r="AU32" i="5"/>
  <c r="AZ32" i="5" s="1"/>
  <c r="AV32" i="5"/>
  <c r="BK32" i="5" s="1"/>
  <c r="AS33" i="5"/>
  <c r="AX33" i="5" s="1"/>
  <c r="BC33" i="5" s="1"/>
  <c r="AT33" i="5"/>
  <c r="BI33" i="5" s="1"/>
  <c r="AU33" i="5"/>
  <c r="AZ33" i="5" s="1"/>
  <c r="AV33" i="5"/>
  <c r="BA33" i="5" s="1"/>
  <c r="BF33" i="5" s="1"/>
  <c r="AS34" i="5"/>
  <c r="AX34" i="5" s="1"/>
  <c r="BC34" i="5" s="1"/>
  <c r="AT34" i="5"/>
  <c r="AY34" i="5" s="1"/>
  <c r="BD34" i="5" s="1"/>
  <c r="AU34" i="5"/>
  <c r="AZ34" i="5" s="1"/>
  <c r="AV34" i="5"/>
  <c r="BK34" i="5" s="1"/>
  <c r="AS35" i="5"/>
  <c r="BH35" i="5" s="1"/>
  <c r="AT35" i="5"/>
  <c r="BI35" i="5" s="1"/>
  <c r="AU35" i="5"/>
  <c r="BJ35" i="5" s="1"/>
  <c r="AV35" i="5"/>
  <c r="BK35" i="5" s="1"/>
  <c r="AS36" i="5"/>
  <c r="BH36" i="5" s="1"/>
  <c r="AT36" i="5"/>
  <c r="BI36" i="5" s="1"/>
  <c r="AU36" i="5"/>
  <c r="BJ36" i="5" s="1"/>
  <c r="AV36" i="5"/>
  <c r="BK36" i="5" s="1"/>
  <c r="AS37" i="5"/>
  <c r="BH37" i="5" s="1"/>
  <c r="AT37" i="5"/>
  <c r="AY37" i="5" s="1"/>
  <c r="BD37" i="5" s="1"/>
  <c r="AU37" i="5"/>
  <c r="AZ37" i="5" s="1"/>
  <c r="BE37" i="5" s="1"/>
  <c r="AV37" i="5"/>
  <c r="BK37" i="5" s="1"/>
  <c r="AS38" i="5"/>
  <c r="BH38" i="5" s="1"/>
  <c r="AT38" i="5"/>
  <c r="BI38" i="5" s="1"/>
  <c r="AU38" i="5"/>
  <c r="BJ38" i="5" s="1"/>
  <c r="AV38" i="5"/>
  <c r="BK38" i="5" s="1"/>
  <c r="AS39" i="5"/>
  <c r="BH39" i="5" s="1"/>
  <c r="AT39" i="5"/>
  <c r="BI39" i="5" s="1"/>
  <c r="AU39" i="5"/>
  <c r="AZ39" i="5" s="1"/>
  <c r="AV39" i="5"/>
  <c r="BA39" i="5" s="1"/>
  <c r="BF39" i="5" s="1"/>
  <c r="AS40" i="5"/>
  <c r="AX40" i="5" s="1"/>
  <c r="BC40" i="5" s="1"/>
  <c r="AT40" i="5"/>
  <c r="BI40" i="5" s="1"/>
  <c r="AU40" i="5"/>
  <c r="BJ40" i="5" s="1"/>
  <c r="AV40" i="5"/>
  <c r="BK40" i="5" s="1"/>
  <c r="AS41" i="5"/>
  <c r="AX41" i="5" s="1"/>
  <c r="BC41" i="5" s="1"/>
  <c r="AT41" i="5"/>
  <c r="AY41" i="5" s="1"/>
  <c r="BD41" i="5" s="1"/>
  <c r="AU41" i="5"/>
  <c r="BJ41" i="5" s="1"/>
  <c r="AV41" i="5"/>
  <c r="BK41" i="5" s="1"/>
  <c r="AS42" i="5"/>
  <c r="AT42" i="5"/>
  <c r="AY42" i="5" s="1"/>
  <c r="BD42" i="5" s="1"/>
  <c r="AU42" i="5"/>
  <c r="BJ42" i="5" s="1"/>
  <c r="AV42" i="5"/>
  <c r="BK42" i="5" s="1"/>
  <c r="AS43" i="5"/>
  <c r="BH43" i="5" s="1"/>
  <c r="AT43" i="5"/>
  <c r="AY43" i="5" s="1"/>
  <c r="BD43" i="5" s="1"/>
  <c r="AU43" i="5"/>
  <c r="AZ43" i="5" s="1"/>
  <c r="BE43" i="5" s="1"/>
  <c r="AV43" i="5"/>
  <c r="BK43" i="5" s="1"/>
  <c r="AV25" i="5"/>
  <c r="BK25" i="5" s="1"/>
  <c r="AU25" i="5"/>
  <c r="BJ25" i="5" s="1"/>
  <c r="AT25" i="5"/>
  <c r="BI25" i="5" s="1"/>
  <c r="AS25" i="5"/>
  <c r="BH25" i="5" s="1"/>
  <c r="AT3" i="5"/>
  <c r="AY3" i="5" s="1"/>
  <c r="AU3" i="5"/>
  <c r="BJ3" i="5" s="1"/>
  <c r="AV3" i="5"/>
  <c r="BK3" i="5" s="1"/>
  <c r="AT4" i="5"/>
  <c r="AY4" i="5" s="1"/>
  <c r="AU4" i="5"/>
  <c r="AZ4" i="5" s="1"/>
  <c r="BE4" i="5" s="1"/>
  <c r="AV4" i="5"/>
  <c r="BA4" i="5" s="1"/>
  <c r="AT5" i="5"/>
  <c r="BI5" i="5" s="1"/>
  <c r="AU5" i="5"/>
  <c r="BJ5" i="5" s="1"/>
  <c r="AV5" i="5"/>
  <c r="BA5" i="5" s="1"/>
  <c r="AT6" i="5"/>
  <c r="BI6" i="5" s="1"/>
  <c r="AU6" i="5"/>
  <c r="AZ6" i="5" s="1"/>
  <c r="BE6" i="5" s="1"/>
  <c r="AV6" i="5"/>
  <c r="BA6" i="5" s="1"/>
  <c r="AT7" i="5"/>
  <c r="AY7" i="5" s="1"/>
  <c r="BD7" i="5" s="1"/>
  <c r="AU7" i="5"/>
  <c r="BJ7" i="5" s="1"/>
  <c r="AV7" i="5"/>
  <c r="BA7" i="5" s="1"/>
  <c r="AT8" i="5"/>
  <c r="AY8" i="5" s="1"/>
  <c r="BD8" i="5" s="1"/>
  <c r="AU8" i="5"/>
  <c r="BJ8" i="5" s="1"/>
  <c r="AV8" i="5"/>
  <c r="BK8" i="5" s="1"/>
  <c r="AT9" i="5"/>
  <c r="BI9" i="5" s="1"/>
  <c r="AU9" i="5"/>
  <c r="AZ9" i="5" s="1"/>
  <c r="BE9" i="5" s="1"/>
  <c r="AV9" i="5"/>
  <c r="BA9" i="5" s="1"/>
  <c r="BF9" i="5" s="1"/>
  <c r="AT10" i="5"/>
  <c r="AY10" i="5" s="1"/>
  <c r="BD10" i="5" s="1"/>
  <c r="AU10" i="5"/>
  <c r="AZ10" i="5" s="1"/>
  <c r="BE10" i="5" s="1"/>
  <c r="AV10" i="5"/>
  <c r="BA10" i="5" s="1"/>
  <c r="BF10" i="5" s="1"/>
  <c r="AT11" i="5"/>
  <c r="AY11" i="5" s="1"/>
  <c r="BD11" i="5" s="1"/>
  <c r="AU11" i="5"/>
  <c r="BJ11" i="5" s="1"/>
  <c r="AV11" i="5"/>
  <c r="BK11" i="5" s="1"/>
  <c r="AT12" i="5"/>
  <c r="AY12" i="5" s="1"/>
  <c r="BD12" i="5" s="1"/>
  <c r="AU12" i="5"/>
  <c r="AZ12" i="5" s="1"/>
  <c r="BE12" i="5" s="1"/>
  <c r="AV12" i="5"/>
  <c r="BA12" i="5" s="1"/>
  <c r="BF12" i="5" s="1"/>
  <c r="AT13" i="5"/>
  <c r="BI13" i="5" s="1"/>
  <c r="AU13" i="5"/>
  <c r="BJ13" i="5" s="1"/>
  <c r="AV13" i="5"/>
  <c r="BA13" i="5" s="1"/>
  <c r="BF13" i="5" s="1"/>
  <c r="AT14" i="5"/>
  <c r="BI14" i="5" s="1"/>
  <c r="AU14" i="5"/>
  <c r="AZ14" i="5" s="1"/>
  <c r="BE14" i="5" s="1"/>
  <c r="AV14" i="5"/>
  <c r="BA14" i="5" s="1"/>
  <c r="BF14" i="5" s="1"/>
  <c r="AT15" i="5"/>
  <c r="AY15" i="5" s="1"/>
  <c r="BD15" i="5" s="1"/>
  <c r="AU15" i="5"/>
  <c r="BJ15" i="5" s="1"/>
  <c r="AV15" i="5"/>
  <c r="BA15" i="5" s="1"/>
  <c r="BF15" i="5" s="1"/>
  <c r="AT16" i="5"/>
  <c r="AY16" i="5" s="1"/>
  <c r="BD16" i="5" s="1"/>
  <c r="AU16" i="5"/>
  <c r="AZ16" i="5" s="1"/>
  <c r="BE16" i="5" s="1"/>
  <c r="AV16" i="5"/>
  <c r="BK16" i="5" s="1"/>
  <c r="AT17" i="5"/>
  <c r="BI17" i="5" s="1"/>
  <c r="AU17" i="5"/>
  <c r="AZ17" i="5" s="1"/>
  <c r="BE17" i="5" s="1"/>
  <c r="AV17" i="5"/>
  <c r="BA17" i="5" s="1"/>
  <c r="BF17" i="5" s="1"/>
  <c r="AT18" i="5"/>
  <c r="AY18" i="5" s="1"/>
  <c r="BD18" i="5" s="1"/>
  <c r="AU18" i="5"/>
  <c r="AZ18" i="5" s="1"/>
  <c r="BE18" i="5" s="1"/>
  <c r="AV18" i="5"/>
  <c r="BA18" i="5" s="1"/>
  <c r="BF18" i="5" s="1"/>
  <c r="AT19" i="5"/>
  <c r="AY19" i="5" s="1"/>
  <c r="BD19" i="5" s="1"/>
  <c r="AU19" i="5"/>
  <c r="BJ19" i="5" s="1"/>
  <c r="AV19" i="5"/>
  <c r="BK19" i="5" s="1"/>
  <c r="AT20" i="5"/>
  <c r="AY20" i="5" s="1"/>
  <c r="BD20" i="5" s="1"/>
  <c r="AU20" i="5"/>
  <c r="AZ20" i="5" s="1"/>
  <c r="BE20" i="5" s="1"/>
  <c r="AV20" i="5"/>
  <c r="BA20" i="5" s="1"/>
  <c r="BF20" i="5" s="1"/>
  <c r="AS4" i="5"/>
  <c r="AX4" i="5" s="1"/>
  <c r="AS5" i="5"/>
  <c r="AX5" i="5" s="1"/>
  <c r="AS6" i="5"/>
  <c r="AX6" i="5" s="1"/>
  <c r="AS7" i="5"/>
  <c r="BH7" i="5" s="1"/>
  <c r="AS8" i="5"/>
  <c r="AX8" i="5" s="1"/>
  <c r="BC8" i="5" s="1"/>
  <c r="AS9" i="5"/>
  <c r="AX9" i="5" s="1"/>
  <c r="BC9" i="5" s="1"/>
  <c r="AS10" i="5"/>
  <c r="AX10" i="5" s="1"/>
  <c r="BC10" i="5" s="1"/>
  <c r="AS11" i="5"/>
  <c r="BH11" i="5" s="1"/>
  <c r="AS12" i="5"/>
  <c r="AX12" i="5" s="1"/>
  <c r="BC12" i="5" s="1"/>
  <c r="AS13" i="5"/>
  <c r="AX13" i="5" s="1"/>
  <c r="BC13" i="5" s="1"/>
  <c r="AS14" i="5"/>
  <c r="AX14" i="5" s="1"/>
  <c r="BC14" i="5" s="1"/>
  <c r="AS15" i="5"/>
  <c r="AX15" i="5" s="1"/>
  <c r="BC15" i="5" s="1"/>
  <c r="AS16" i="5"/>
  <c r="AX16" i="5" s="1"/>
  <c r="BC16" i="5" s="1"/>
  <c r="AS17" i="5"/>
  <c r="AX17" i="5" s="1"/>
  <c r="BC17" i="5" s="1"/>
  <c r="AS18" i="5"/>
  <c r="AX18" i="5" s="1"/>
  <c r="BC18" i="5" s="1"/>
  <c r="AS19" i="5"/>
  <c r="AX19" i="5" s="1"/>
  <c r="BC19" i="5" s="1"/>
  <c r="AS20" i="5"/>
  <c r="AX20" i="5" s="1"/>
  <c r="BC20" i="5" s="1"/>
  <c r="AS3" i="5"/>
  <c r="A106" i="6"/>
  <c r="C25" i="6" l="1"/>
  <c r="C33" i="6"/>
  <c r="C27" i="6"/>
  <c r="C32" i="6"/>
  <c r="C26" i="6"/>
  <c r="C30" i="6"/>
  <c r="C31" i="6"/>
  <c r="C24" i="6"/>
  <c r="W72" i="6"/>
  <c r="W74" i="6"/>
  <c r="W73" i="6"/>
  <c r="M32" i="5"/>
  <c r="AX195" i="5"/>
  <c r="BC195" i="5" s="1"/>
  <c r="AX194" i="5"/>
  <c r="AX196" i="5"/>
  <c r="BC196" i="5" s="1"/>
  <c r="AX197" i="5"/>
  <c r="BC197" i="5" s="1"/>
  <c r="AX198" i="5"/>
  <c r="BC198" i="5" s="1"/>
  <c r="AX193" i="5"/>
  <c r="BJ95" i="5"/>
  <c r="AZ134" i="5"/>
  <c r="BJ231" i="5"/>
  <c r="AX232" i="5"/>
  <c r="BH237" i="5"/>
  <c r="BI139" i="5"/>
  <c r="AZ172" i="5"/>
  <c r="BA133" i="5"/>
  <c r="BJ51" i="5"/>
  <c r="BA91" i="5"/>
  <c r="BA139" i="5"/>
  <c r="BH55" i="5"/>
  <c r="BK127" i="5"/>
  <c r="AY31" i="5"/>
  <c r="BD31" i="5" s="1"/>
  <c r="BA30" i="5"/>
  <c r="BJ69" i="5"/>
  <c r="AY141" i="5"/>
  <c r="BD141" i="5" s="1"/>
  <c r="AX69" i="5"/>
  <c r="BC69" i="5" s="1"/>
  <c r="BH100" i="5"/>
  <c r="BA57" i="5"/>
  <c r="AY175" i="5"/>
  <c r="BD175" i="5" s="1"/>
  <c r="BK69" i="5"/>
  <c r="BH133" i="5"/>
  <c r="BA237" i="5"/>
  <c r="BF237" i="5" s="1"/>
  <c r="AZ100" i="5"/>
  <c r="BE100" i="5" s="1"/>
  <c r="BH15" i="5"/>
  <c r="BA99" i="5"/>
  <c r="AY125" i="5"/>
  <c r="BJ67" i="5"/>
  <c r="BH235" i="5"/>
  <c r="BJ140" i="5"/>
  <c r="BK135" i="5"/>
  <c r="BI170" i="5"/>
  <c r="BA87" i="5"/>
  <c r="BI37" i="5"/>
  <c r="BH139" i="5"/>
  <c r="BI169" i="5"/>
  <c r="AX169" i="5"/>
  <c r="BC169" i="5" s="1"/>
  <c r="BK233" i="5"/>
  <c r="BI133" i="5"/>
  <c r="BA66" i="5"/>
  <c r="BJ85" i="5"/>
  <c r="BJ133" i="5"/>
  <c r="BI164" i="5"/>
  <c r="AX205" i="5"/>
  <c r="AZ55" i="5"/>
  <c r="BE55" i="5" s="1"/>
  <c r="AZ169" i="5"/>
  <c r="BE169" i="5" s="1"/>
  <c r="BA40" i="5"/>
  <c r="BF40" i="5" s="1"/>
  <c r="BH210" i="5"/>
  <c r="BH214" i="5"/>
  <c r="AX39" i="5"/>
  <c r="BC39" i="5" s="1"/>
  <c r="AY59" i="5"/>
  <c r="AY40" i="5"/>
  <c r="BD40" i="5" s="1"/>
  <c r="AX38" i="5"/>
  <c r="BC38" i="5" s="1"/>
  <c r="AZ68" i="5"/>
  <c r="BE68" i="5" s="1"/>
  <c r="BK103" i="5"/>
  <c r="BA88" i="5"/>
  <c r="BK141" i="5"/>
  <c r="AY137" i="5"/>
  <c r="BH163" i="5"/>
  <c r="BA36" i="5"/>
  <c r="BF36" i="5" s="1"/>
  <c r="AX68" i="5"/>
  <c r="BC68" i="5" s="1"/>
  <c r="BJ141" i="5"/>
  <c r="AZ163" i="5"/>
  <c r="BJ178" i="5"/>
  <c r="AX27" i="5"/>
  <c r="BI63" i="5"/>
  <c r="BH98" i="5"/>
  <c r="BH41" i="5"/>
  <c r="AX63" i="5"/>
  <c r="BA53" i="5"/>
  <c r="AY53" i="5"/>
  <c r="BK102" i="5"/>
  <c r="AY87" i="5"/>
  <c r="BH67" i="5"/>
  <c r="AZ131" i="5"/>
  <c r="BJ232" i="5"/>
  <c r="BK227" i="5"/>
  <c r="BI34" i="5"/>
  <c r="BI57" i="5"/>
  <c r="AY67" i="5"/>
  <c r="BD67" i="5" s="1"/>
  <c r="BK28" i="5"/>
  <c r="AX62" i="5"/>
  <c r="BJ101" i="5"/>
  <c r="BI28" i="5"/>
  <c r="BI101" i="5"/>
  <c r="BJ226" i="5"/>
  <c r="BK61" i="5"/>
  <c r="AZ38" i="5"/>
  <c r="BE38" i="5" s="1"/>
  <c r="AY38" i="5"/>
  <c r="BD38" i="5" s="1"/>
  <c r="BJ37" i="5"/>
  <c r="AY69" i="5"/>
  <c r="BD69" i="5" s="1"/>
  <c r="BK62" i="5"/>
  <c r="BI134" i="5"/>
  <c r="AX175" i="5"/>
  <c r="BC175" i="5" s="1"/>
  <c r="AX166" i="5"/>
  <c r="AX229" i="5"/>
  <c r="BC229" i="5" s="1"/>
  <c r="AY66" i="5"/>
  <c r="BD66" i="5" s="1"/>
  <c r="AY88" i="5"/>
  <c r="AX134" i="5"/>
  <c r="BH126" i="5"/>
  <c r="BJ233" i="5"/>
  <c r="AX215" i="5"/>
  <c r="BC215" i="5" s="1"/>
  <c r="BJ34" i="5"/>
  <c r="BA54" i="5"/>
  <c r="BK96" i="5"/>
  <c r="AX88" i="5"/>
  <c r="BA126" i="5"/>
  <c r="BH96" i="5"/>
  <c r="BK178" i="5"/>
  <c r="BH34" i="5"/>
  <c r="BJ103" i="5"/>
  <c r="AZ237" i="5"/>
  <c r="BE237" i="5" s="1"/>
  <c r="BI32" i="5"/>
  <c r="BK68" i="5"/>
  <c r="BH16" i="5"/>
  <c r="AZ31" i="5"/>
  <c r="BI68" i="5"/>
  <c r="AZ65" i="5"/>
  <c r="BE65" i="5" s="1"/>
  <c r="BJ61" i="5"/>
  <c r="BI103" i="5"/>
  <c r="BI91" i="5"/>
  <c r="AZ129" i="5"/>
  <c r="AX178" i="5"/>
  <c r="BC178" i="5" s="1"/>
  <c r="AX31" i="5"/>
  <c r="BC31" i="5" s="1"/>
  <c r="BI30" i="5"/>
  <c r="AZ53" i="5"/>
  <c r="BE53" i="5" s="1"/>
  <c r="BK95" i="5"/>
  <c r="AZ87" i="5"/>
  <c r="BA125" i="5"/>
  <c r="BJ227" i="5"/>
  <c r="AX206" i="5"/>
  <c r="AY29" i="5"/>
  <c r="BD29" i="5" s="1"/>
  <c r="BJ28" i="5"/>
  <c r="BJ56" i="5"/>
  <c r="AX53" i="5"/>
  <c r="AX87" i="5"/>
  <c r="AX125" i="5"/>
  <c r="BI56" i="5"/>
  <c r="BJ128" i="5"/>
  <c r="AX207" i="5"/>
  <c r="BI26" i="5"/>
  <c r="BA60" i="5"/>
  <c r="BF60" i="5" s="1"/>
  <c r="BH56" i="5"/>
  <c r="BK90" i="5"/>
  <c r="BH128" i="5"/>
  <c r="BK172" i="5"/>
  <c r="AX26" i="5"/>
  <c r="AY60" i="5"/>
  <c r="BI102" i="5"/>
  <c r="BH90" i="5"/>
  <c r="BI163" i="5"/>
  <c r="AX208" i="5"/>
  <c r="AX185" i="5"/>
  <c r="BA94" i="5"/>
  <c r="AY90" i="5"/>
  <c r="BJ43" i="5"/>
  <c r="AX102" i="5"/>
  <c r="BI43" i="5"/>
  <c r="BJ63" i="5"/>
  <c r="AX94" i="5"/>
  <c r="AY132" i="5"/>
  <c r="BI176" i="5"/>
  <c r="AX172" i="5"/>
  <c r="BA163" i="5"/>
  <c r="BK239" i="5"/>
  <c r="AY235" i="5"/>
  <c r="AX226" i="5"/>
  <c r="AX209" i="5"/>
  <c r="BI42" i="5"/>
  <c r="BI41" i="5"/>
  <c r="BJ135" i="5"/>
  <c r="AZ40" i="5"/>
  <c r="BE40" i="5" s="1"/>
  <c r="AX212" i="5"/>
  <c r="BC212" i="5" s="1"/>
  <c r="AX93" i="5"/>
  <c r="BJ127" i="5"/>
  <c r="BK238" i="5"/>
  <c r="BJ225" i="5"/>
  <c r="BH101" i="5"/>
  <c r="AX97" i="5"/>
  <c r="AY131" i="5"/>
  <c r="AZ175" i="5"/>
  <c r="BE175" i="5" s="1"/>
  <c r="BI238" i="5"/>
  <c r="AX213" i="5"/>
  <c r="BC213" i="5" s="1"/>
  <c r="BA101" i="5"/>
  <c r="AZ166" i="5"/>
  <c r="AX186" i="5"/>
  <c r="AX187" i="5"/>
  <c r="AX188" i="5"/>
  <c r="BC188" i="5" s="1"/>
  <c r="AX184" i="5"/>
  <c r="AX189" i="5"/>
  <c r="BC189" i="5" s="1"/>
  <c r="AX211" i="5"/>
  <c r="BC211" i="5" s="1"/>
  <c r="BJ26" i="5"/>
  <c r="AZ57" i="5"/>
  <c r="BE57" i="5" s="1"/>
  <c r="BJ57" i="5"/>
  <c r="AX140" i="5"/>
  <c r="BC140" i="5" s="1"/>
  <c r="BH140" i="5"/>
  <c r="BK33" i="5"/>
  <c r="AX167" i="5"/>
  <c r="BH167" i="5"/>
  <c r="BJ33" i="5"/>
  <c r="BA37" i="5"/>
  <c r="BF37" i="5" s="1"/>
  <c r="AZ30" i="5"/>
  <c r="BH33" i="5"/>
  <c r="BI96" i="5"/>
  <c r="BJ32" i="5"/>
  <c r="AY50" i="5"/>
  <c r="BI50" i="5"/>
  <c r="AZ139" i="5"/>
  <c r="BJ139" i="5"/>
  <c r="BA89" i="5"/>
  <c r="BK89" i="5"/>
  <c r="AX37" i="5"/>
  <c r="BC37" i="5" s="1"/>
  <c r="AX29" i="5"/>
  <c r="BK39" i="5"/>
  <c r="BH32" i="5"/>
  <c r="BI100" i="5"/>
  <c r="AY100" i="5"/>
  <c r="BD100" i="5" s="1"/>
  <c r="AZ96" i="5"/>
  <c r="BJ96" i="5"/>
  <c r="BA134" i="5"/>
  <c r="BK134" i="5"/>
  <c r="AZ170" i="5"/>
  <c r="BE170" i="5" s="1"/>
  <c r="BJ170" i="5"/>
  <c r="BI229" i="5"/>
  <c r="AY229" i="5"/>
  <c r="BD229" i="5" s="1"/>
  <c r="BJ39" i="5"/>
  <c r="BK31" i="5"/>
  <c r="AZ59" i="5"/>
  <c r="BA43" i="5"/>
  <c r="BF43" i="5" s="1"/>
  <c r="AZ36" i="5"/>
  <c r="BJ62" i="5"/>
  <c r="BA56" i="5"/>
  <c r="BK56" i="5"/>
  <c r="BH40" i="5"/>
  <c r="AY36" i="5"/>
  <c r="BD36" i="5" s="1"/>
  <c r="BI62" i="5"/>
  <c r="AX59" i="5"/>
  <c r="AY99" i="5"/>
  <c r="AY35" i="5"/>
  <c r="BD35" i="5" s="1"/>
  <c r="AX28" i="5"/>
  <c r="BK59" i="5"/>
  <c r="BA59" i="5"/>
  <c r="AX99" i="5"/>
  <c r="BI126" i="5"/>
  <c r="AY126" i="5"/>
  <c r="AX43" i="5"/>
  <c r="BC43" i="5" s="1"/>
  <c r="AX35" i="5"/>
  <c r="BC35" i="5" s="1"/>
  <c r="AZ91" i="5"/>
  <c r="BA27" i="5"/>
  <c r="BA42" i="5"/>
  <c r="BF42" i="5" s="1"/>
  <c r="BA34" i="5"/>
  <c r="BF34" i="5" s="1"/>
  <c r="AZ27" i="5"/>
  <c r="BA65" i="5"/>
  <c r="BK137" i="5"/>
  <c r="BA137" i="5"/>
  <c r="BI223" i="5"/>
  <c r="AY223" i="5"/>
  <c r="AZ102" i="5"/>
  <c r="BE102" i="5" s="1"/>
  <c r="BJ102" i="5"/>
  <c r="BJ137" i="5"/>
  <c r="AZ137" i="5"/>
  <c r="AZ42" i="5"/>
  <c r="BE42" i="5" s="1"/>
  <c r="AX95" i="5"/>
  <c r="BH95" i="5"/>
  <c r="AZ164" i="5"/>
  <c r="BJ164" i="5"/>
  <c r="AY97" i="5"/>
  <c r="BI97" i="5"/>
  <c r="BH42" i="5"/>
  <c r="AX42" i="5"/>
  <c r="BC42" i="5" s="1"/>
  <c r="BH30" i="5"/>
  <c r="AX30" i="5"/>
  <c r="BC30" i="5" s="1"/>
  <c r="BA55" i="5"/>
  <c r="BK55" i="5"/>
  <c r="BI51" i="5"/>
  <c r="BH91" i="5"/>
  <c r="AX91" i="5"/>
  <c r="BC100" i="5" s="1"/>
  <c r="BA51" i="5"/>
  <c r="BK51" i="5"/>
  <c r="BH65" i="5"/>
  <c r="AX65" i="5"/>
  <c r="AY55" i="5"/>
  <c r="BI55" i="5"/>
  <c r="BK67" i="5"/>
  <c r="BI61" i="5"/>
  <c r="BJ94" i="5"/>
  <c r="AZ94" i="5"/>
  <c r="BE94" i="5" s="1"/>
  <c r="BH61" i="5"/>
  <c r="AX51" i="5"/>
  <c r="BH51" i="5"/>
  <c r="BI94" i="5"/>
  <c r="AY94" i="5"/>
  <c r="AY54" i="5"/>
  <c r="AZ97" i="5"/>
  <c r="AX57" i="5"/>
  <c r="AX54" i="5"/>
  <c r="AZ93" i="5"/>
  <c r="AZ90" i="5"/>
  <c r="BJ90" i="5"/>
  <c r="AZ176" i="5"/>
  <c r="BJ176" i="5"/>
  <c r="BJ235" i="5"/>
  <c r="AZ235" i="5"/>
  <c r="BK63" i="5"/>
  <c r="AY93" i="5"/>
  <c r="AY140" i="5"/>
  <c r="BD140" i="5" s="1"/>
  <c r="BI140" i="5"/>
  <c r="BK231" i="5"/>
  <c r="BK225" i="5"/>
  <c r="AX131" i="5"/>
  <c r="AY128" i="5"/>
  <c r="BK166" i="5"/>
  <c r="BI231" i="5"/>
  <c r="BI225" i="5"/>
  <c r="BA93" i="5"/>
  <c r="BI178" i="5"/>
  <c r="BI172" i="5"/>
  <c r="BI237" i="5"/>
  <c r="BH231" i="5"/>
  <c r="BH228" i="5"/>
  <c r="BH225" i="5"/>
  <c r="AZ125" i="5"/>
  <c r="AX36" i="5"/>
  <c r="BC36" i="5" s="1"/>
  <c r="BI95" i="5"/>
  <c r="AX141" i="5"/>
  <c r="BC141" i="5" s="1"/>
  <c r="BI135" i="5"/>
  <c r="BI127" i="5"/>
  <c r="BK177" i="5"/>
  <c r="BK171" i="5"/>
  <c r="BK165" i="5"/>
  <c r="BJ239" i="5"/>
  <c r="BI230" i="5"/>
  <c r="BI224" i="5"/>
  <c r="BA41" i="5"/>
  <c r="BF41" i="5" s="1"/>
  <c r="BA35" i="5"/>
  <c r="BF35" i="5" s="1"/>
  <c r="BA29" i="5"/>
  <c r="BK97" i="5"/>
  <c r="BH138" i="5"/>
  <c r="BK129" i="5"/>
  <c r="BH127" i="5"/>
  <c r="BJ177" i="5"/>
  <c r="BJ171" i="5"/>
  <c r="BJ165" i="5"/>
  <c r="BI236" i="5"/>
  <c r="AX233" i="5"/>
  <c r="BH230" i="5"/>
  <c r="AX227" i="5"/>
  <c r="BC227" i="5" s="1"/>
  <c r="BH224" i="5"/>
  <c r="AZ41" i="5"/>
  <c r="BE41" i="5" s="1"/>
  <c r="AZ35" i="5"/>
  <c r="AZ29" i="5"/>
  <c r="AX103" i="5"/>
  <c r="BC103" i="5" s="1"/>
  <c r="BJ89" i="5"/>
  <c r="BA138" i="5"/>
  <c r="BF138" i="5" s="1"/>
  <c r="BI177" i="5"/>
  <c r="BH174" i="5"/>
  <c r="BI171" i="5"/>
  <c r="BI165" i="5"/>
  <c r="AX239" i="5"/>
  <c r="BC239" i="5" s="1"/>
  <c r="BH236" i="5"/>
  <c r="AZ230" i="5"/>
  <c r="BE230" i="5" s="1"/>
  <c r="BA224" i="5"/>
  <c r="BI89" i="5"/>
  <c r="AZ138" i="5"/>
  <c r="BE138" i="5" s="1"/>
  <c r="BI129" i="5"/>
  <c r="AX177" i="5"/>
  <c r="BC177" i="5" s="1"/>
  <c r="AZ174" i="5"/>
  <c r="AX171" i="5"/>
  <c r="BH168" i="5"/>
  <c r="AX165" i="5"/>
  <c r="AZ236" i="5"/>
  <c r="BE236" i="5" s="1"/>
  <c r="AZ224" i="5"/>
  <c r="BA100" i="5"/>
  <c r="BF100" i="5" s="1"/>
  <c r="BH89" i="5"/>
  <c r="AY138" i="5"/>
  <c r="BD138" i="5" s="1"/>
  <c r="BH132" i="5"/>
  <c r="AY174" i="5"/>
  <c r="AZ168" i="5"/>
  <c r="BE168" i="5" s="1"/>
  <c r="AZ162" i="5"/>
  <c r="BK140" i="5"/>
  <c r="BA132" i="5"/>
  <c r="BK123" i="5"/>
  <c r="AY168" i="5"/>
  <c r="AY162" i="5"/>
  <c r="AZ132" i="5"/>
  <c r="BE132" i="5" s="1"/>
  <c r="BJ123" i="5"/>
  <c r="AX162" i="5"/>
  <c r="BK232" i="5"/>
  <c r="BK226" i="5"/>
  <c r="BK85" i="5"/>
  <c r="BK176" i="5"/>
  <c r="BK170" i="5"/>
  <c r="BK164" i="5"/>
  <c r="BJ238" i="5"/>
  <c r="BI232" i="5"/>
  <c r="BI226" i="5"/>
  <c r="AZ126" i="5"/>
  <c r="BH173" i="5"/>
  <c r="AX238" i="5"/>
  <c r="BC238" i="5" s="1"/>
  <c r="AZ229" i="5"/>
  <c r="BE229" i="5" s="1"/>
  <c r="AZ223" i="5"/>
  <c r="AY39" i="5"/>
  <c r="BD39" i="5" s="1"/>
  <c r="AY33" i="5"/>
  <c r="BD33" i="5" s="1"/>
  <c r="AY27" i="5"/>
  <c r="BK128" i="5"/>
  <c r="AX223" i="5"/>
  <c r="BA38" i="5"/>
  <c r="BF38" i="5" s="1"/>
  <c r="BA32" i="5"/>
  <c r="BF32" i="5" s="1"/>
  <c r="BA26" i="5"/>
  <c r="AZ54" i="5"/>
  <c r="BE54" i="5" s="1"/>
  <c r="AZ99" i="5"/>
  <c r="AZ88" i="5"/>
  <c r="AX137" i="5"/>
  <c r="BA131" i="5"/>
  <c r="BA235" i="5"/>
  <c r="BA229" i="5"/>
  <c r="BF229" i="5" s="1"/>
  <c r="BA223" i="5"/>
  <c r="BA236" i="5"/>
  <c r="BF236" i="5" s="1"/>
  <c r="BA230" i="5"/>
  <c r="BF230" i="5" s="1"/>
  <c r="BK221" i="5"/>
  <c r="BJ221" i="5"/>
  <c r="BI239" i="5"/>
  <c r="BI233" i="5"/>
  <c r="BI227" i="5"/>
  <c r="BI221" i="5"/>
  <c r="BH221" i="5"/>
  <c r="BK234" i="5"/>
  <c r="BK228" i="5"/>
  <c r="BK222" i="5"/>
  <c r="BJ234" i="5"/>
  <c r="BJ228" i="5"/>
  <c r="BJ222" i="5"/>
  <c r="BI234" i="5"/>
  <c r="BI228" i="5"/>
  <c r="BI222" i="5"/>
  <c r="BH234" i="5"/>
  <c r="BH222" i="5"/>
  <c r="AX220" i="5"/>
  <c r="AY220" i="5"/>
  <c r="AZ220" i="5"/>
  <c r="BA220" i="5"/>
  <c r="BA174" i="5"/>
  <c r="BA168" i="5"/>
  <c r="BA162" i="5"/>
  <c r="BH176" i="5"/>
  <c r="BH170" i="5"/>
  <c r="BH164" i="5"/>
  <c r="BA175" i="5"/>
  <c r="BF175" i="5" s="1"/>
  <c r="BA169" i="5"/>
  <c r="BK160" i="5"/>
  <c r="BJ160" i="5"/>
  <c r="BI166" i="5"/>
  <c r="BI160" i="5"/>
  <c r="BH160" i="5"/>
  <c r="BK173" i="5"/>
  <c r="BK167" i="5"/>
  <c r="BK161" i="5"/>
  <c r="BJ173" i="5"/>
  <c r="BJ167" i="5"/>
  <c r="BJ161" i="5"/>
  <c r="BI173" i="5"/>
  <c r="BI167" i="5"/>
  <c r="BI161" i="5"/>
  <c r="BH161" i="5"/>
  <c r="AX159" i="5"/>
  <c r="AY159" i="5"/>
  <c r="AZ159" i="5"/>
  <c r="BA159" i="5"/>
  <c r="BI123" i="5"/>
  <c r="BH135" i="5"/>
  <c r="BH129" i="5"/>
  <c r="BH123" i="5"/>
  <c r="BK136" i="5"/>
  <c r="BK130" i="5"/>
  <c r="BK124" i="5"/>
  <c r="BJ136" i="5"/>
  <c r="BJ130" i="5"/>
  <c r="BJ124" i="5"/>
  <c r="BI136" i="5"/>
  <c r="BI130" i="5"/>
  <c r="BI124" i="5"/>
  <c r="BH136" i="5"/>
  <c r="BH130" i="5"/>
  <c r="BH124" i="5"/>
  <c r="AX122" i="5"/>
  <c r="AY122" i="5"/>
  <c r="AZ122" i="5"/>
  <c r="BA122" i="5"/>
  <c r="BI85" i="5"/>
  <c r="BH85" i="5"/>
  <c r="BK98" i="5"/>
  <c r="BK92" i="5"/>
  <c r="BK86" i="5"/>
  <c r="BJ98" i="5"/>
  <c r="BJ92" i="5"/>
  <c r="BJ86" i="5"/>
  <c r="BI98" i="5"/>
  <c r="BI92" i="5"/>
  <c r="BI86" i="5"/>
  <c r="BH92" i="5"/>
  <c r="BH86" i="5"/>
  <c r="AX84" i="5"/>
  <c r="AY84" i="5"/>
  <c r="AZ84" i="5"/>
  <c r="BA84" i="5"/>
  <c r="AY65" i="5"/>
  <c r="BD65" i="5" s="1"/>
  <c r="AZ66" i="5"/>
  <c r="BE66" i="5" s="1"/>
  <c r="AZ60" i="5"/>
  <c r="BE60" i="5" s="1"/>
  <c r="AX66" i="5"/>
  <c r="AX60" i="5"/>
  <c r="BK64" i="5"/>
  <c r="BK58" i="5"/>
  <c r="BK52" i="5"/>
  <c r="BJ64" i="5"/>
  <c r="BJ58" i="5"/>
  <c r="BJ52" i="5"/>
  <c r="BI64" i="5"/>
  <c r="BI58" i="5"/>
  <c r="BI52" i="5"/>
  <c r="BH64" i="5"/>
  <c r="BH58" i="5"/>
  <c r="BH52" i="5"/>
  <c r="AX50" i="5"/>
  <c r="AZ50" i="5"/>
  <c r="BA50" i="5"/>
  <c r="AX25" i="5"/>
  <c r="AY25" i="5"/>
  <c r="AZ25" i="5"/>
  <c r="BA25" i="5"/>
  <c r="AZ8" i="5"/>
  <c r="BE8" i="5" s="1"/>
  <c r="AX11" i="5"/>
  <c r="BC11" i="5" s="1"/>
  <c r="BH14" i="5"/>
  <c r="AX7" i="5"/>
  <c r="BC7" i="5" s="1"/>
  <c r="BH5" i="5"/>
  <c r="BH4" i="5"/>
  <c r="BK20" i="5"/>
  <c r="AY17" i="5"/>
  <c r="BD17" i="5" s="1"/>
  <c r="BJ20" i="5"/>
  <c r="BA16" i="5"/>
  <c r="BF16" i="5" s="1"/>
  <c r="AZ15" i="5"/>
  <c r="BE15" i="5" s="1"/>
  <c r="AY14" i="5"/>
  <c r="BD14" i="5" s="1"/>
  <c r="BJ16" i="5"/>
  <c r="AZ13" i="5"/>
  <c r="BE13" i="5" s="1"/>
  <c r="AY13" i="5"/>
  <c r="BD13" i="5" s="1"/>
  <c r="AY9" i="5"/>
  <c r="BD9" i="5" s="1"/>
  <c r="BK12" i="5"/>
  <c r="BA8" i="5"/>
  <c r="BF8" i="5" s="1"/>
  <c r="BJ12" i="5"/>
  <c r="AZ7" i="5"/>
  <c r="BE7" i="5" s="1"/>
  <c r="AY6" i="5"/>
  <c r="BD6" i="5" s="1"/>
  <c r="AZ5" i="5"/>
  <c r="BE5" i="5" s="1"/>
  <c r="AY5" i="5"/>
  <c r="BD5" i="5" s="1"/>
  <c r="BK4" i="5"/>
  <c r="BJ4" i="5"/>
  <c r="BA19" i="5"/>
  <c r="BF19" i="5" s="1"/>
  <c r="BA11" i="5"/>
  <c r="BF11" i="5" s="1"/>
  <c r="BA3" i="5"/>
  <c r="BI19" i="5"/>
  <c r="BI11" i="5"/>
  <c r="BI3" i="5"/>
  <c r="AZ19" i="5"/>
  <c r="BE19" i="5" s="1"/>
  <c r="AZ11" i="5"/>
  <c r="BE11" i="5" s="1"/>
  <c r="AZ3" i="5"/>
  <c r="BK18" i="5"/>
  <c r="BK10" i="5"/>
  <c r="BH20" i="5"/>
  <c r="BJ18" i="5"/>
  <c r="BJ10" i="5"/>
  <c r="BH19" i="5"/>
  <c r="BI18" i="5"/>
  <c r="BI10" i="5"/>
  <c r="BH18" i="5"/>
  <c r="BK17" i="5"/>
  <c r="BK9" i="5"/>
  <c r="BH17" i="5"/>
  <c r="BJ17" i="5"/>
  <c r="BJ9" i="5"/>
  <c r="BH13" i="5"/>
  <c r="BI16" i="5"/>
  <c r="BI8" i="5"/>
  <c r="BH12" i="5"/>
  <c r="BK15" i="5"/>
  <c r="BK7" i="5"/>
  <c r="BH10" i="5"/>
  <c r="BI15" i="5"/>
  <c r="BI7" i="5"/>
  <c r="BH9" i="5"/>
  <c r="BK14" i="5"/>
  <c r="BK6" i="5"/>
  <c r="BH8" i="5"/>
  <c r="BJ14" i="5"/>
  <c r="BJ6" i="5"/>
  <c r="BH6" i="5"/>
  <c r="BK13" i="5"/>
  <c r="BK5" i="5"/>
  <c r="BI20" i="5"/>
  <c r="BI12" i="5"/>
  <c r="BI4" i="5"/>
  <c r="AX3" i="5"/>
  <c r="BH3" i="5"/>
  <c r="O58" i="6"/>
  <c r="P58" i="6"/>
  <c r="P57" i="6"/>
  <c r="P44" i="6"/>
  <c r="P43" i="6"/>
  <c r="P42" i="6"/>
  <c r="P41" i="6"/>
  <c r="P40" i="6"/>
  <c r="N32" i="5" l="1"/>
  <c r="BD224" i="5"/>
  <c r="BC5" i="5"/>
  <c r="BC194" i="5"/>
  <c r="BC193" i="5"/>
  <c r="BD101" i="5"/>
  <c r="BF31" i="5"/>
  <c r="BF29" i="5"/>
  <c r="BF30" i="5"/>
  <c r="BE101" i="5"/>
  <c r="BE223" i="5"/>
  <c r="BE173" i="5"/>
  <c r="BF7" i="5"/>
  <c r="BE137" i="5"/>
  <c r="BD27" i="5"/>
  <c r="BF101" i="5"/>
  <c r="BF66" i="5"/>
  <c r="BD163" i="5"/>
  <c r="BE136" i="5"/>
  <c r="BF232" i="5"/>
  <c r="BE232" i="5"/>
  <c r="BE135" i="5"/>
  <c r="BD131" i="5"/>
  <c r="BE99" i="5"/>
  <c r="BD64" i="5"/>
  <c r="BF224" i="5"/>
  <c r="BE96" i="5"/>
  <c r="BF99" i="5"/>
  <c r="BF25" i="5"/>
  <c r="BE235" i="5"/>
  <c r="BF235" i="5"/>
  <c r="BC222" i="5"/>
  <c r="BE233" i="5"/>
  <c r="BF233" i="5"/>
  <c r="BC234" i="5"/>
  <c r="BD234" i="5"/>
  <c r="BE234" i="5"/>
  <c r="BF234" i="5"/>
  <c r="BD235" i="5"/>
  <c r="BC235" i="5"/>
  <c r="BD232" i="5"/>
  <c r="BC233" i="5"/>
  <c r="BC232" i="5"/>
  <c r="BD233" i="5"/>
  <c r="BF173" i="5"/>
  <c r="BF174" i="5"/>
  <c r="BC171" i="5"/>
  <c r="BF168" i="5"/>
  <c r="BC160" i="5"/>
  <c r="BE174" i="5"/>
  <c r="BC167" i="5"/>
  <c r="BC176" i="5"/>
  <c r="BD176" i="5"/>
  <c r="BF176" i="5"/>
  <c r="BD171" i="5"/>
  <c r="BE171" i="5"/>
  <c r="BF171" i="5"/>
  <c r="BD168" i="5"/>
  <c r="BC166" i="5"/>
  <c r="BD172" i="5"/>
  <c r="BF172" i="5"/>
  <c r="BE172" i="5"/>
  <c r="BC173" i="5"/>
  <c r="BC172" i="5"/>
  <c r="BD173" i="5"/>
  <c r="BE176" i="5"/>
  <c r="BD174" i="5"/>
  <c r="BC168" i="5"/>
  <c r="BC174" i="5"/>
  <c r="BF169" i="5"/>
  <c r="BD169" i="5"/>
  <c r="BE139" i="5"/>
  <c r="BF137" i="5"/>
  <c r="BD137" i="5"/>
  <c r="BF139" i="5"/>
  <c r="BC122" i="5"/>
  <c r="BC137" i="5"/>
  <c r="BC139" i="5"/>
  <c r="BD139" i="5"/>
  <c r="BC136" i="5"/>
  <c r="BE134" i="5"/>
  <c r="BC135" i="5"/>
  <c r="BE59" i="5"/>
  <c r="BE56" i="5"/>
  <c r="BE58" i="5"/>
  <c r="BE97" i="5"/>
  <c r="BE98" i="5"/>
  <c r="BC101" i="5"/>
  <c r="BD99" i="5"/>
  <c r="BD91" i="5"/>
  <c r="BC99" i="5"/>
  <c r="BC102" i="5"/>
  <c r="BC98" i="5"/>
  <c r="BC97" i="5"/>
  <c r="BF65" i="5"/>
  <c r="BF64" i="5"/>
  <c r="BF62" i="5"/>
  <c r="BD62" i="5"/>
  <c r="BC57" i="5"/>
  <c r="BC58" i="5"/>
  <c r="BC56" i="5"/>
  <c r="BD61" i="5"/>
  <c r="BD63" i="5"/>
  <c r="BF61" i="5"/>
  <c r="BC185" i="5"/>
  <c r="BE161" i="5"/>
  <c r="BF84" i="5"/>
  <c r="BC87" i="5"/>
  <c r="BF50" i="5"/>
  <c r="BP50" i="5" s="1"/>
  <c r="U50" i="5" s="1"/>
  <c r="BD25" i="5"/>
  <c r="BN25" i="5" s="1"/>
  <c r="S25" i="5" s="1"/>
  <c r="BE52" i="5"/>
  <c r="BD126" i="5"/>
  <c r="BE88" i="5"/>
  <c r="BD88" i="5"/>
  <c r="BF88" i="5"/>
  <c r="BE92" i="5"/>
  <c r="BC29" i="5"/>
  <c r="BF163" i="5"/>
  <c r="BC50" i="5"/>
  <c r="BM50" i="5" s="1"/>
  <c r="R50" i="5" s="1"/>
  <c r="BC187" i="5"/>
  <c r="BD53" i="5"/>
  <c r="BF63" i="5"/>
  <c r="BE126" i="5"/>
  <c r="BF164" i="5"/>
  <c r="BE224" i="5"/>
  <c r="BF126" i="5"/>
  <c r="BC161" i="5"/>
  <c r="BF228" i="5"/>
  <c r="BE163" i="5"/>
  <c r="BC124" i="5"/>
  <c r="BF130" i="5"/>
  <c r="BC54" i="5"/>
  <c r="BC208" i="5"/>
  <c r="BC86" i="5"/>
  <c r="BD220" i="5"/>
  <c r="BN220" i="5" s="1"/>
  <c r="S220" i="5" s="1"/>
  <c r="BE35" i="5"/>
  <c r="BE33" i="5"/>
  <c r="BE34" i="5"/>
  <c r="BE36" i="5"/>
  <c r="BE32" i="5"/>
  <c r="BE25" i="5"/>
  <c r="BO25" i="5" s="1"/>
  <c r="T25" i="5" s="1"/>
  <c r="BE39" i="5"/>
  <c r="BD125" i="5"/>
  <c r="BD162" i="5"/>
  <c r="BD87" i="5"/>
  <c r="BF125" i="5"/>
  <c r="BC28" i="5"/>
  <c r="BE87" i="5"/>
  <c r="BE51" i="5"/>
  <c r="BE162" i="5"/>
  <c r="BF87" i="5"/>
  <c r="BD223" i="5"/>
  <c r="BC184" i="5"/>
  <c r="BC207" i="5"/>
  <c r="BF162" i="5"/>
  <c r="BC186" i="5"/>
  <c r="BF94" i="5"/>
  <c r="BD159" i="5"/>
  <c r="BN159" i="5" s="1"/>
  <c r="S159" i="5" s="1"/>
  <c r="BE125" i="5"/>
  <c r="BC123" i="5"/>
  <c r="BF223" i="5"/>
  <c r="BC85" i="5"/>
  <c r="BF122" i="5"/>
  <c r="BE226" i="5"/>
  <c r="BC53" i="5"/>
  <c r="BD135" i="5"/>
  <c r="BC226" i="5"/>
  <c r="BE122" i="5"/>
  <c r="BO122" i="5" s="1"/>
  <c r="T122" i="5" s="1"/>
  <c r="BD54" i="5"/>
  <c r="BC221" i="5"/>
  <c r="BC205" i="5"/>
  <c r="BM205" i="5" s="1"/>
  <c r="T205" i="5" s="1"/>
  <c r="BC206" i="5"/>
  <c r="BC209" i="5"/>
  <c r="BF135" i="5"/>
  <c r="BD160" i="5"/>
  <c r="BC62" i="5"/>
  <c r="BF92" i="5"/>
  <c r="BF127" i="5"/>
  <c r="BE29" i="5"/>
  <c r="BD57" i="5"/>
  <c r="BD51" i="5"/>
  <c r="BD129" i="5"/>
  <c r="BE85" i="5"/>
  <c r="BD93" i="5"/>
  <c r="BE221" i="5"/>
  <c r="BD228" i="5"/>
  <c r="BD130" i="5"/>
  <c r="BF134" i="5"/>
  <c r="BD50" i="5"/>
  <c r="BE89" i="5"/>
  <c r="BF97" i="5"/>
  <c r="BF55" i="5"/>
  <c r="BD165" i="5"/>
  <c r="BD134" i="5"/>
  <c r="BC88" i="5"/>
  <c r="BF159" i="5"/>
  <c r="BF165" i="5"/>
  <c r="BF124" i="5"/>
  <c r="BE128" i="5"/>
  <c r="BD95" i="5"/>
  <c r="BC96" i="5"/>
  <c r="BD127" i="5"/>
  <c r="BF85" i="5"/>
  <c r="BC25" i="5"/>
  <c r="BE159" i="5"/>
  <c r="BF128" i="5"/>
  <c r="BD133" i="5"/>
  <c r="BC89" i="5"/>
  <c r="BE167" i="5"/>
  <c r="BF86" i="5"/>
  <c r="BE129" i="5"/>
  <c r="BF56" i="5"/>
  <c r="BF123" i="5"/>
  <c r="BE50" i="5"/>
  <c r="BC159" i="5"/>
  <c r="BM159" i="5" s="1"/>
  <c r="R159" i="5" s="1"/>
  <c r="BF227" i="5"/>
  <c r="BF220" i="5"/>
  <c r="BC90" i="5"/>
  <c r="BC52" i="5"/>
  <c r="BF91" i="5"/>
  <c r="BD59" i="5"/>
  <c r="BC132" i="5"/>
  <c r="BE220" i="5"/>
  <c r="BE225" i="5"/>
  <c r="BD94" i="5"/>
  <c r="BD55" i="5"/>
  <c r="BD167" i="5"/>
  <c r="BE30" i="5"/>
  <c r="BC65" i="5"/>
  <c r="BF52" i="5"/>
  <c r="BC220" i="5"/>
  <c r="BF131" i="5"/>
  <c r="BD124" i="5"/>
  <c r="BD97" i="5"/>
  <c r="BE160" i="5"/>
  <c r="BF59" i="5"/>
  <c r="BF225" i="5"/>
  <c r="BC93" i="5"/>
  <c r="BC66" i="5"/>
  <c r="BC51" i="5"/>
  <c r="BD222" i="5"/>
  <c r="BF222" i="5"/>
  <c r="BF161" i="5"/>
  <c r="BE166" i="5"/>
  <c r="BE90" i="5"/>
  <c r="BF54" i="5"/>
  <c r="BD227" i="5"/>
  <c r="BC126" i="5"/>
  <c r="BC225" i="5"/>
  <c r="BE127" i="5"/>
  <c r="BF93" i="5"/>
  <c r="BE93" i="5"/>
  <c r="BF57" i="5"/>
  <c r="BF136" i="5"/>
  <c r="BE164" i="5"/>
  <c r="BD52" i="5"/>
  <c r="BE130" i="5"/>
  <c r="BC134" i="5"/>
  <c r="BD85" i="5"/>
  <c r="BC94" i="5"/>
  <c r="BC125" i="5"/>
  <c r="BC224" i="5"/>
  <c r="BC92" i="5"/>
  <c r="BD89" i="5"/>
  <c r="BF26" i="5"/>
  <c r="BC27" i="5"/>
  <c r="BF98" i="5"/>
  <c r="BC129" i="5"/>
  <c r="BE27" i="5"/>
  <c r="BE228" i="5"/>
  <c r="BD96" i="5"/>
  <c r="BF96" i="5"/>
  <c r="BF53" i="5"/>
  <c r="BD98" i="5"/>
  <c r="BE84" i="5"/>
  <c r="BC64" i="5"/>
  <c r="BE123" i="5"/>
  <c r="BF133" i="5"/>
  <c r="BD161" i="5"/>
  <c r="BD60" i="5"/>
  <c r="BD26" i="5"/>
  <c r="BD128" i="5"/>
  <c r="BC61" i="5"/>
  <c r="BF51" i="5"/>
  <c r="BE165" i="5"/>
  <c r="BF89" i="5"/>
  <c r="BC63" i="5"/>
  <c r="BE26" i="5"/>
  <c r="BC84" i="5"/>
  <c r="BC223" i="5"/>
  <c r="BC131" i="5"/>
  <c r="BD221" i="5"/>
  <c r="BF221" i="5"/>
  <c r="BD58" i="5"/>
  <c r="BF27" i="5"/>
  <c r="BC130" i="5"/>
  <c r="BD225" i="5"/>
  <c r="BD56" i="5"/>
  <c r="BF132" i="5"/>
  <c r="BF226" i="5"/>
  <c r="BC128" i="5"/>
  <c r="BE222" i="5"/>
  <c r="BF160" i="5"/>
  <c r="BF166" i="5"/>
  <c r="BE131" i="5"/>
  <c r="BC26" i="5"/>
  <c r="BD122" i="5"/>
  <c r="BD132" i="5"/>
  <c r="BD84" i="5"/>
  <c r="BD92" i="5"/>
  <c r="BD86" i="5"/>
  <c r="BE124" i="5"/>
  <c r="BC133" i="5"/>
  <c r="BE227" i="5"/>
  <c r="BC95" i="5"/>
  <c r="BF129" i="5"/>
  <c r="BC59" i="5"/>
  <c r="BC127" i="5"/>
  <c r="BE28" i="5"/>
  <c r="BC60" i="5"/>
  <c r="BD226" i="5"/>
  <c r="BE86" i="5"/>
  <c r="BD136" i="5"/>
  <c r="BD164" i="5"/>
  <c r="BF58" i="5"/>
  <c r="BE91" i="5"/>
  <c r="BD166" i="5"/>
  <c r="BE31" i="5"/>
  <c r="BF167" i="5"/>
  <c r="BF90" i="5"/>
  <c r="BD90" i="5"/>
  <c r="BC91" i="5"/>
  <c r="BF95" i="5"/>
  <c r="BD123" i="5"/>
  <c r="BF28" i="5"/>
  <c r="BC162" i="5"/>
  <c r="BC165" i="5"/>
  <c r="BC163" i="5"/>
  <c r="BC164" i="5"/>
  <c r="BC4" i="5"/>
  <c r="BD4" i="5"/>
  <c r="BE3" i="5"/>
  <c r="BO11" i="5" s="1"/>
  <c r="T11" i="5" s="1"/>
  <c r="BC6" i="5"/>
  <c r="BD3" i="5"/>
  <c r="BN3" i="5" s="1"/>
  <c r="S3" i="5" s="1"/>
  <c r="BF6" i="5"/>
  <c r="BF5" i="5"/>
  <c r="BF4" i="5"/>
  <c r="BF3" i="5"/>
  <c r="BC3" i="5"/>
  <c r="J10" i="6"/>
  <c r="I98" i="6"/>
  <c r="O83" i="6"/>
  <c r="P83" i="6" s="1"/>
  <c r="S83" i="6" s="1"/>
  <c r="O82" i="6"/>
  <c r="O81" i="6"/>
  <c r="P81" i="6" s="1"/>
  <c r="S81" i="6" s="1"/>
  <c r="O74" i="6"/>
  <c r="O71" i="6"/>
  <c r="L56" i="5"/>
  <c r="L53" i="5"/>
  <c r="L52" i="5"/>
  <c r="L51" i="5"/>
  <c r="L50" i="5"/>
  <c r="L49" i="5"/>
  <c r="L48" i="5"/>
  <c r="L47" i="5"/>
  <c r="L46" i="5"/>
  <c r="L45" i="5"/>
  <c r="L44" i="5"/>
  <c r="L43" i="5"/>
  <c r="L42" i="5"/>
  <c r="I9" i="6"/>
  <c r="D9" i="6" s="1"/>
  <c r="O57" i="6"/>
  <c r="S57" i="6" s="1"/>
  <c r="T57" i="6" s="1"/>
  <c r="O44" i="6"/>
  <c r="W44" i="6" s="1"/>
  <c r="X44" i="6" s="1"/>
  <c r="O43" i="6"/>
  <c r="O42" i="6"/>
  <c r="O41" i="6"/>
  <c r="O40" i="6"/>
  <c r="AA222" i="5"/>
  <c r="AB222" i="5" s="1"/>
  <c r="AC222" i="5" s="1"/>
  <c r="AD222" i="5" s="1"/>
  <c r="K37" i="6"/>
  <c r="C73" i="6" s="1"/>
  <c r="Q7" i="6" l="1"/>
  <c r="R7" i="6"/>
  <c r="A73" i="6"/>
  <c r="B63" i="6"/>
  <c r="B62" i="6"/>
  <c r="P71" i="6"/>
  <c r="S71" i="6" s="1"/>
  <c r="I71" i="6"/>
  <c r="Q42" i="6"/>
  <c r="BM197" i="5"/>
  <c r="N7" i="5" s="1"/>
  <c r="P82" i="6"/>
  <c r="S82" i="6" s="1"/>
  <c r="BM194" i="5"/>
  <c r="N4" i="5" s="1"/>
  <c r="BM195" i="5"/>
  <c r="N5" i="5" s="1"/>
  <c r="BM196" i="5"/>
  <c r="N6" i="5" s="1"/>
  <c r="BM193" i="5"/>
  <c r="N3" i="5" s="1"/>
  <c r="BM198" i="5"/>
  <c r="N8" i="5" s="1"/>
  <c r="D98" i="6"/>
  <c r="C96" i="6"/>
  <c r="P69" i="6"/>
  <c r="B61" i="6"/>
  <c r="BN27" i="5"/>
  <c r="S27" i="5" s="1"/>
  <c r="BP25" i="5"/>
  <c r="U25" i="5" s="1"/>
  <c r="BM123" i="5"/>
  <c r="R123" i="5" s="1"/>
  <c r="BP85" i="5"/>
  <c r="U85" i="5" s="1"/>
  <c r="BP84" i="5"/>
  <c r="U84" i="5" s="1"/>
  <c r="BM54" i="5"/>
  <c r="R54" i="5" s="1"/>
  <c r="S40" i="6"/>
  <c r="T40" i="6" s="1"/>
  <c r="Q74" i="6"/>
  <c r="T74" i="6" s="1"/>
  <c r="BN8" i="5"/>
  <c r="S8" i="5" s="1"/>
  <c r="BM207" i="5"/>
  <c r="T207" i="5" s="1"/>
  <c r="BM122" i="5"/>
  <c r="R122" i="5" s="1"/>
  <c r="BM215" i="5"/>
  <c r="T215" i="5" s="1"/>
  <c r="BM211" i="5"/>
  <c r="T211" i="5" s="1"/>
  <c r="BN169" i="5"/>
  <c r="S169" i="5" s="1"/>
  <c r="BM214" i="5"/>
  <c r="T214" i="5" s="1"/>
  <c r="BM213" i="5"/>
  <c r="T213" i="5" s="1"/>
  <c r="BM212" i="5"/>
  <c r="T212" i="5" s="1"/>
  <c r="BN162" i="5"/>
  <c r="S162" i="5" s="1"/>
  <c r="BP94" i="5"/>
  <c r="U94" i="5" s="1"/>
  <c r="BM128" i="5"/>
  <c r="R128" i="5" s="1"/>
  <c r="BM69" i="5"/>
  <c r="R69" i="5" s="1"/>
  <c r="BP128" i="5"/>
  <c r="U128" i="5" s="1"/>
  <c r="BN238" i="5"/>
  <c r="S238" i="5" s="1"/>
  <c r="BP123" i="5"/>
  <c r="U123" i="5" s="1"/>
  <c r="BO130" i="5"/>
  <c r="T130" i="5" s="1"/>
  <c r="BP57" i="5"/>
  <c r="U57" i="5" s="1"/>
  <c r="BP51" i="5"/>
  <c r="U51" i="5" s="1"/>
  <c r="BP68" i="5"/>
  <c r="U68" i="5" s="1"/>
  <c r="BP55" i="5"/>
  <c r="U55" i="5" s="1"/>
  <c r="BP63" i="5"/>
  <c r="U63" i="5" s="1"/>
  <c r="BO33" i="5"/>
  <c r="T33" i="5" s="1"/>
  <c r="BP130" i="5"/>
  <c r="U130" i="5" s="1"/>
  <c r="BO19" i="5"/>
  <c r="T19" i="5" s="1"/>
  <c r="BP124" i="5"/>
  <c r="U124" i="5" s="1"/>
  <c r="BO5" i="5"/>
  <c r="T5" i="5" s="1"/>
  <c r="BO4" i="5"/>
  <c r="T4" i="5" s="1"/>
  <c r="BO3" i="5"/>
  <c r="T3" i="5" s="1"/>
  <c r="BN13" i="5"/>
  <c r="S13" i="5" s="1"/>
  <c r="BP98" i="5"/>
  <c r="U98" i="5" s="1"/>
  <c r="BO42" i="5"/>
  <c r="T42" i="5" s="1"/>
  <c r="BO123" i="5"/>
  <c r="T123" i="5" s="1"/>
  <c r="BN160" i="5"/>
  <c r="S160" i="5" s="1"/>
  <c r="BM210" i="5"/>
  <c r="T210" i="5" s="1"/>
  <c r="BM189" i="5"/>
  <c r="M8" i="5" s="1"/>
  <c r="BM188" i="5"/>
  <c r="M7" i="5" s="1"/>
  <c r="BM187" i="5"/>
  <c r="BM186" i="5"/>
  <c r="BM185" i="5"/>
  <c r="BM184" i="5"/>
  <c r="BO10" i="5"/>
  <c r="T10" i="5" s="1"/>
  <c r="BN9" i="5"/>
  <c r="S9" i="5" s="1"/>
  <c r="BM209" i="5"/>
  <c r="T209" i="5" s="1"/>
  <c r="BO129" i="5"/>
  <c r="T129" i="5" s="1"/>
  <c r="BN15" i="5"/>
  <c r="S15" i="5" s="1"/>
  <c r="BN5" i="5"/>
  <c r="S5" i="5" s="1"/>
  <c r="BO18" i="5"/>
  <c r="T18" i="5" s="1"/>
  <c r="BO17" i="5"/>
  <c r="T17" i="5" s="1"/>
  <c r="BN6" i="5"/>
  <c r="S6" i="5" s="1"/>
  <c r="BM52" i="5"/>
  <c r="R52" i="5" s="1"/>
  <c r="BM208" i="5"/>
  <c r="T208" i="5" s="1"/>
  <c r="BO9" i="5"/>
  <c r="T9" i="5" s="1"/>
  <c r="BN16" i="5"/>
  <c r="S16" i="5" s="1"/>
  <c r="BN19" i="5"/>
  <c r="S19" i="5" s="1"/>
  <c r="BN10" i="5"/>
  <c r="S10" i="5" s="1"/>
  <c r="BO16" i="5"/>
  <c r="T16" i="5" s="1"/>
  <c r="BP43" i="5"/>
  <c r="U43" i="5" s="1"/>
  <c r="BO8" i="5"/>
  <c r="T8" i="5" s="1"/>
  <c r="BN14" i="5"/>
  <c r="S14" i="5" s="1"/>
  <c r="BP66" i="5"/>
  <c r="U66" i="5" s="1"/>
  <c r="BO31" i="5"/>
  <c r="T31" i="5" s="1"/>
  <c r="BP86" i="5"/>
  <c r="U86" i="5" s="1"/>
  <c r="BN20" i="5"/>
  <c r="S20" i="5" s="1"/>
  <c r="BM206" i="5"/>
  <c r="T206" i="5" s="1"/>
  <c r="BN18" i="5"/>
  <c r="S18" i="5" s="1"/>
  <c r="BP89" i="5"/>
  <c r="U89" i="5" s="1"/>
  <c r="BP122" i="5"/>
  <c r="U122" i="5" s="1"/>
  <c r="BP41" i="5"/>
  <c r="U41" i="5" s="1"/>
  <c r="BO15" i="5"/>
  <c r="T15" i="5" s="1"/>
  <c r="BO7" i="5"/>
  <c r="T7" i="5" s="1"/>
  <c r="BO14" i="5"/>
  <c r="T14" i="5" s="1"/>
  <c r="BO38" i="5"/>
  <c r="T38" i="5" s="1"/>
  <c r="BP141" i="5"/>
  <c r="U141" i="5" s="1"/>
  <c r="BN12" i="5"/>
  <c r="S12" i="5" s="1"/>
  <c r="BN4" i="5"/>
  <c r="S4" i="5" s="1"/>
  <c r="BP52" i="5"/>
  <c r="U52" i="5" s="1"/>
  <c r="BN226" i="5"/>
  <c r="S226" i="5" s="1"/>
  <c r="BO6" i="5"/>
  <c r="T6" i="5" s="1"/>
  <c r="BO13" i="5"/>
  <c r="T13" i="5" s="1"/>
  <c r="BP69" i="5"/>
  <c r="U69" i="5" s="1"/>
  <c r="BM66" i="5"/>
  <c r="R66" i="5" s="1"/>
  <c r="BO34" i="5"/>
  <c r="T34" i="5" s="1"/>
  <c r="BM60" i="5"/>
  <c r="R60" i="5" s="1"/>
  <c r="BP100" i="5"/>
  <c r="U100" i="5" s="1"/>
  <c r="BN232" i="5"/>
  <c r="S232" i="5" s="1"/>
  <c r="BO124" i="5"/>
  <c r="T124" i="5" s="1"/>
  <c r="BN177" i="5"/>
  <c r="S177" i="5" s="1"/>
  <c r="BN38" i="5"/>
  <c r="S38" i="5" s="1"/>
  <c r="BP32" i="5"/>
  <c r="U32" i="5" s="1"/>
  <c r="BM65" i="5"/>
  <c r="R65" i="5" s="1"/>
  <c r="BP88" i="5"/>
  <c r="U88" i="5" s="1"/>
  <c r="BN237" i="5"/>
  <c r="S237" i="5" s="1"/>
  <c r="BO141" i="5"/>
  <c r="T141" i="5" s="1"/>
  <c r="BP135" i="5"/>
  <c r="U135" i="5" s="1"/>
  <c r="BN161" i="5"/>
  <c r="S161" i="5" s="1"/>
  <c r="BP31" i="5"/>
  <c r="U31" i="5" s="1"/>
  <c r="BM169" i="5"/>
  <c r="R169" i="5" s="1"/>
  <c r="BM59" i="5"/>
  <c r="R59" i="5" s="1"/>
  <c r="BN29" i="5"/>
  <c r="S29" i="5" s="1"/>
  <c r="BN231" i="5"/>
  <c r="S231" i="5" s="1"/>
  <c r="BM140" i="5"/>
  <c r="R140" i="5" s="1"/>
  <c r="BO135" i="5"/>
  <c r="T135" i="5" s="1"/>
  <c r="BP129" i="5"/>
  <c r="U129" i="5" s="1"/>
  <c r="BN176" i="5"/>
  <c r="S176" i="5" s="1"/>
  <c r="BP40" i="5"/>
  <c r="U40" i="5" s="1"/>
  <c r="BM53" i="5"/>
  <c r="R53" i="5" s="1"/>
  <c r="BN225" i="5"/>
  <c r="S225" i="5" s="1"/>
  <c r="BM134" i="5"/>
  <c r="R134" i="5" s="1"/>
  <c r="BN168" i="5"/>
  <c r="S168" i="5" s="1"/>
  <c r="BP30" i="5"/>
  <c r="U30" i="5" s="1"/>
  <c r="BN236" i="5"/>
  <c r="S236" i="5" s="1"/>
  <c r="BP140" i="5"/>
  <c r="U140" i="5" s="1"/>
  <c r="BP39" i="5"/>
  <c r="U39" i="5" s="1"/>
  <c r="BN230" i="5"/>
  <c r="S230" i="5" s="1"/>
  <c r="BM139" i="5"/>
  <c r="R139" i="5" s="1"/>
  <c r="BP134" i="5"/>
  <c r="U134" i="5" s="1"/>
  <c r="BN175" i="5"/>
  <c r="S175" i="5" s="1"/>
  <c r="BP162" i="5"/>
  <c r="U162" i="5" s="1"/>
  <c r="BP170" i="5"/>
  <c r="U170" i="5" s="1"/>
  <c r="BP178" i="5"/>
  <c r="U178" i="5" s="1"/>
  <c r="BP163" i="5"/>
  <c r="U163" i="5" s="1"/>
  <c r="BP171" i="5"/>
  <c r="U171" i="5" s="1"/>
  <c r="BP159" i="5"/>
  <c r="U159" i="5" s="1"/>
  <c r="BP164" i="5"/>
  <c r="U164" i="5" s="1"/>
  <c r="BP172" i="5"/>
  <c r="U172" i="5" s="1"/>
  <c r="BP165" i="5"/>
  <c r="U165" i="5" s="1"/>
  <c r="BP173" i="5"/>
  <c r="U173" i="5" s="1"/>
  <c r="BP166" i="5"/>
  <c r="U166" i="5" s="1"/>
  <c r="BP174" i="5"/>
  <c r="U174" i="5" s="1"/>
  <c r="BP167" i="5"/>
  <c r="U167" i="5" s="1"/>
  <c r="BP175" i="5"/>
  <c r="U175" i="5" s="1"/>
  <c r="BP160" i="5"/>
  <c r="U160" i="5" s="1"/>
  <c r="BP168" i="5"/>
  <c r="U168" i="5" s="1"/>
  <c r="BP176" i="5"/>
  <c r="U176" i="5" s="1"/>
  <c r="BP161" i="5"/>
  <c r="U161" i="5" s="1"/>
  <c r="BP169" i="5"/>
  <c r="U169" i="5" s="1"/>
  <c r="BP177" i="5"/>
  <c r="U177" i="5" s="1"/>
  <c r="BO26" i="5"/>
  <c r="T26" i="5" s="1"/>
  <c r="BP29" i="5"/>
  <c r="U29" i="5" s="1"/>
  <c r="BM89" i="5"/>
  <c r="R89" i="5" s="1"/>
  <c r="BM95" i="5"/>
  <c r="R95" i="5" s="1"/>
  <c r="BM101" i="5"/>
  <c r="R101" i="5" s="1"/>
  <c r="BM90" i="5"/>
  <c r="R90" i="5" s="1"/>
  <c r="BM96" i="5"/>
  <c r="R96" i="5" s="1"/>
  <c r="BM102" i="5"/>
  <c r="R102" i="5" s="1"/>
  <c r="BM85" i="5"/>
  <c r="R85" i="5" s="1"/>
  <c r="BM91" i="5"/>
  <c r="R91" i="5" s="1"/>
  <c r="BM97" i="5"/>
  <c r="R97" i="5" s="1"/>
  <c r="BM103" i="5"/>
  <c r="R103" i="5" s="1"/>
  <c r="BM86" i="5"/>
  <c r="R86" i="5" s="1"/>
  <c r="BM92" i="5"/>
  <c r="R92" i="5" s="1"/>
  <c r="BM98" i="5"/>
  <c r="R98" i="5" s="1"/>
  <c r="BM84" i="5"/>
  <c r="R84" i="5" s="1"/>
  <c r="BM87" i="5"/>
  <c r="R87" i="5" s="1"/>
  <c r="BM93" i="5"/>
  <c r="R93" i="5" s="1"/>
  <c r="BM99" i="5"/>
  <c r="R99" i="5" s="1"/>
  <c r="BM88" i="5"/>
  <c r="R88" i="5" s="1"/>
  <c r="BM94" i="5"/>
  <c r="R94" i="5" s="1"/>
  <c r="BM100" i="5"/>
  <c r="R100" i="5" s="1"/>
  <c r="BP99" i="5"/>
  <c r="U99" i="5" s="1"/>
  <c r="BN224" i="5"/>
  <c r="S224" i="5" s="1"/>
  <c r="BM133" i="5"/>
  <c r="R133" i="5" s="1"/>
  <c r="BM222" i="5"/>
  <c r="R222" i="5" s="1"/>
  <c r="BM228" i="5"/>
  <c r="R228" i="5" s="1"/>
  <c r="BM234" i="5"/>
  <c r="R234" i="5" s="1"/>
  <c r="BM223" i="5"/>
  <c r="R223" i="5" s="1"/>
  <c r="BM229" i="5"/>
  <c r="R229" i="5" s="1"/>
  <c r="BM235" i="5"/>
  <c r="R235" i="5" s="1"/>
  <c r="BM224" i="5"/>
  <c r="R224" i="5" s="1"/>
  <c r="BM230" i="5"/>
  <c r="R230" i="5" s="1"/>
  <c r="BM236" i="5"/>
  <c r="R236" i="5" s="1"/>
  <c r="BM220" i="5"/>
  <c r="R220" i="5" s="1"/>
  <c r="BM225" i="5"/>
  <c r="R225" i="5" s="1"/>
  <c r="BM231" i="5"/>
  <c r="R231" i="5" s="1"/>
  <c r="BM237" i="5"/>
  <c r="R237" i="5" s="1"/>
  <c r="BM226" i="5"/>
  <c r="R226" i="5" s="1"/>
  <c r="BM232" i="5"/>
  <c r="R232" i="5" s="1"/>
  <c r="BM238" i="5"/>
  <c r="R238" i="5" s="1"/>
  <c r="BM221" i="5"/>
  <c r="R221" i="5" s="1"/>
  <c r="BM227" i="5"/>
  <c r="R227" i="5" s="1"/>
  <c r="BM233" i="5"/>
  <c r="R233" i="5" s="1"/>
  <c r="BM239" i="5"/>
  <c r="R239" i="5" s="1"/>
  <c r="BN167" i="5"/>
  <c r="S167" i="5" s="1"/>
  <c r="BN36" i="5"/>
  <c r="S36" i="5" s="1"/>
  <c r="BP38" i="5"/>
  <c r="U38" i="5" s="1"/>
  <c r="BO37" i="5"/>
  <c r="T37" i="5" s="1"/>
  <c r="BP62" i="5"/>
  <c r="U62" i="5" s="1"/>
  <c r="BO36" i="5"/>
  <c r="T36" i="5" s="1"/>
  <c r="BP93" i="5"/>
  <c r="U93" i="5" s="1"/>
  <c r="BN235" i="5"/>
  <c r="S235" i="5" s="1"/>
  <c r="BM127" i="5"/>
  <c r="R127" i="5" s="1"/>
  <c r="BN174" i="5"/>
  <c r="S174" i="5" s="1"/>
  <c r="BN26" i="5"/>
  <c r="S26" i="5" s="1"/>
  <c r="BO29" i="5"/>
  <c r="T29" i="5" s="1"/>
  <c r="BP28" i="5"/>
  <c r="U28" i="5" s="1"/>
  <c r="BP56" i="5"/>
  <c r="U56" i="5" s="1"/>
  <c r="BO32" i="5"/>
  <c r="T32" i="5" s="1"/>
  <c r="BP87" i="5"/>
  <c r="U87" i="5" s="1"/>
  <c r="BO40" i="5"/>
  <c r="T40" i="5" s="1"/>
  <c r="BN229" i="5"/>
  <c r="S229" i="5" s="1"/>
  <c r="BM138" i="5"/>
  <c r="R138" i="5" s="1"/>
  <c r="BN166" i="5"/>
  <c r="S166" i="5" s="1"/>
  <c r="BN35" i="5"/>
  <c r="S35" i="5" s="1"/>
  <c r="BO28" i="5"/>
  <c r="T28" i="5" s="1"/>
  <c r="BP37" i="5"/>
  <c r="U37" i="5" s="1"/>
  <c r="BP67" i="5"/>
  <c r="U67" i="5" s="1"/>
  <c r="BM64" i="5"/>
  <c r="R64" i="5" s="1"/>
  <c r="BN223" i="5"/>
  <c r="S223" i="5" s="1"/>
  <c r="BM132" i="5"/>
  <c r="R132" i="5" s="1"/>
  <c r="BO140" i="5"/>
  <c r="T140" i="5" s="1"/>
  <c r="BN173" i="5"/>
  <c r="S173" i="5" s="1"/>
  <c r="BO27" i="5"/>
  <c r="T27" i="5" s="1"/>
  <c r="BP36" i="5"/>
  <c r="U36" i="5" s="1"/>
  <c r="BP61" i="5"/>
  <c r="U61" i="5" s="1"/>
  <c r="BM58" i="5"/>
  <c r="R58" i="5" s="1"/>
  <c r="BP92" i="5"/>
  <c r="U92" i="5" s="1"/>
  <c r="BM126" i="5"/>
  <c r="R126" i="5" s="1"/>
  <c r="BO134" i="5"/>
  <c r="T134" i="5" s="1"/>
  <c r="BO220" i="5"/>
  <c r="T220" i="5" s="1"/>
  <c r="BO222" i="5"/>
  <c r="T222" i="5" s="1"/>
  <c r="BO228" i="5"/>
  <c r="T228" i="5" s="1"/>
  <c r="BO234" i="5"/>
  <c r="T234" i="5" s="1"/>
  <c r="BO223" i="5"/>
  <c r="T223" i="5" s="1"/>
  <c r="BO229" i="5"/>
  <c r="T229" i="5" s="1"/>
  <c r="BO235" i="5"/>
  <c r="T235" i="5" s="1"/>
  <c r="BO224" i="5"/>
  <c r="T224" i="5" s="1"/>
  <c r="BO230" i="5"/>
  <c r="T230" i="5" s="1"/>
  <c r="BO236" i="5"/>
  <c r="T236" i="5" s="1"/>
  <c r="BO225" i="5"/>
  <c r="T225" i="5" s="1"/>
  <c r="BO231" i="5"/>
  <c r="T231" i="5" s="1"/>
  <c r="BO237" i="5"/>
  <c r="T237" i="5" s="1"/>
  <c r="BO226" i="5"/>
  <c r="T226" i="5" s="1"/>
  <c r="BO232" i="5"/>
  <c r="T232" i="5" s="1"/>
  <c r="BO238" i="5"/>
  <c r="T238" i="5" s="1"/>
  <c r="BO221" i="5"/>
  <c r="T221" i="5" s="1"/>
  <c r="BO227" i="5"/>
  <c r="T227" i="5" s="1"/>
  <c r="BO233" i="5"/>
  <c r="T233" i="5" s="1"/>
  <c r="BO239" i="5"/>
  <c r="T239" i="5" s="1"/>
  <c r="BN165" i="5"/>
  <c r="S165" i="5" s="1"/>
  <c r="BN33" i="5"/>
  <c r="S33" i="5" s="1"/>
  <c r="BO30" i="5"/>
  <c r="T30" i="5" s="1"/>
  <c r="BP27" i="5"/>
  <c r="U27" i="5" s="1"/>
  <c r="BN89" i="5"/>
  <c r="S89" i="5" s="1"/>
  <c r="BN95" i="5"/>
  <c r="S95" i="5" s="1"/>
  <c r="BN101" i="5"/>
  <c r="S101" i="5" s="1"/>
  <c r="BN90" i="5"/>
  <c r="S90" i="5" s="1"/>
  <c r="BN96" i="5"/>
  <c r="S96" i="5" s="1"/>
  <c r="BN102" i="5"/>
  <c r="S102" i="5" s="1"/>
  <c r="BN85" i="5"/>
  <c r="S85" i="5" s="1"/>
  <c r="BN91" i="5"/>
  <c r="S91" i="5" s="1"/>
  <c r="BN97" i="5"/>
  <c r="S97" i="5" s="1"/>
  <c r="BN103" i="5"/>
  <c r="S103" i="5" s="1"/>
  <c r="BN84" i="5"/>
  <c r="S84" i="5" s="1"/>
  <c r="BN86" i="5"/>
  <c r="S86" i="5" s="1"/>
  <c r="BN92" i="5"/>
  <c r="S92" i="5" s="1"/>
  <c r="BN98" i="5"/>
  <c r="S98" i="5" s="1"/>
  <c r="BN87" i="5"/>
  <c r="S87" i="5" s="1"/>
  <c r="BN93" i="5"/>
  <c r="S93" i="5" s="1"/>
  <c r="BN99" i="5"/>
  <c r="S99" i="5" s="1"/>
  <c r="BN100" i="5"/>
  <c r="S100" i="5" s="1"/>
  <c r="BN88" i="5"/>
  <c r="S88" i="5" s="1"/>
  <c r="BN94" i="5"/>
  <c r="S94" i="5" s="1"/>
  <c r="BN234" i="5"/>
  <c r="S234" i="5" s="1"/>
  <c r="BM137" i="5"/>
  <c r="R137" i="5" s="1"/>
  <c r="BO128" i="5"/>
  <c r="T128" i="5" s="1"/>
  <c r="BP139" i="5"/>
  <c r="U139" i="5" s="1"/>
  <c r="BN172" i="5"/>
  <c r="S172" i="5" s="1"/>
  <c r="BN43" i="5"/>
  <c r="S43" i="5" s="1"/>
  <c r="BP42" i="5"/>
  <c r="U42" i="5" s="1"/>
  <c r="BN228" i="5"/>
  <c r="S228" i="5" s="1"/>
  <c r="BM131" i="5"/>
  <c r="R131" i="5" s="1"/>
  <c r="BO139" i="5"/>
  <c r="T139" i="5" s="1"/>
  <c r="BP133" i="5"/>
  <c r="U133" i="5" s="1"/>
  <c r="BP221" i="5"/>
  <c r="U221" i="5" s="1"/>
  <c r="BP227" i="5"/>
  <c r="U227" i="5" s="1"/>
  <c r="BP233" i="5"/>
  <c r="U233" i="5" s="1"/>
  <c r="BP239" i="5"/>
  <c r="U239" i="5" s="1"/>
  <c r="BP220" i="5"/>
  <c r="U220" i="5" s="1"/>
  <c r="BP222" i="5"/>
  <c r="U222" i="5" s="1"/>
  <c r="BP228" i="5"/>
  <c r="U228" i="5" s="1"/>
  <c r="BP234" i="5"/>
  <c r="U234" i="5" s="1"/>
  <c r="BP223" i="5"/>
  <c r="U223" i="5" s="1"/>
  <c r="BP229" i="5"/>
  <c r="U229" i="5" s="1"/>
  <c r="BP235" i="5"/>
  <c r="U235" i="5" s="1"/>
  <c r="BP224" i="5"/>
  <c r="U224" i="5" s="1"/>
  <c r="BP230" i="5"/>
  <c r="U230" i="5" s="1"/>
  <c r="BP236" i="5"/>
  <c r="U236" i="5" s="1"/>
  <c r="BP225" i="5"/>
  <c r="U225" i="5" s="1"/>
  <c r="BP231" i="5"/>
  <c r="U231" i="5" s="1"/>
  <c r="BP237" i="5"/>
  <c r="U237" i="5" s="1"/>
  <c r="BP226" i="5"/>
  <c r="U226" i="5" s="1"/>
  <c r="BP232" i="5"/>
  <c r="U232" i="5" s="1"/>
  <c r="BP238" i="5"/>
  <c r="U238" i="5" s="1"/>
  <c r="BN164" i="5"/>
  <c r="S164" i="5" s="1"/>
  <c r="BN32" i="5"/>
  <c r="S32" i="5" s="1"/>
  <c r="BN53" i="5"/>
  <c r="S53" i="5" s="1"/>
  <c r="BN59" i="5"/>
  <c r="S59" i="5" s="1"/>
  <c r="BN65" i="5"/>
  <c r="S65" i="5" s="1"/>
  <c r="BN54" i="5"/>
  <c r="S54" i="5" s="1"/>
  <c r="BN60" i="5"/>
  <c r="S60" i="5" s="1"/>
  <c r="BN66" i="5"/>
  <c r="S66" i="5" s="1"/>
  <c r="BN55" i="5"/>
  <c r="S55" i="5" s="1"/>
  <c r="BN61" i="5"/>
  <c r="S61" i="5" s="1"/>
  <c r="BN67" i="5"/>
  <c r="S67" i="5" s="1"/>
  <c r="BN56" i="5"/>
  <c r="S56" i="5" s="1"/>
  <c r="BN62" i="5"/>
  <c r="S62" i="5" s="1"/>
  <c r="BN68" i="5"/>
  <c r="S68" i="5" s="1"/>
  <c r="BN51" i="5"/>
  <c r="S51" i="5" s="1"/>
  <c r="BN57" i="5"/>
  <c r="S57" i="5" s="1"/>
  <c r="BN63" i="5"/>
  <c r="S63" i="5" s="1"/>
  <c r="BN69" i="5"/>
  <c r="S69" i="5" s="1"/>
  <c r="BN50" i="5"/>
  <c r="S50" i="5" s="1"/>
  <c r="BN52" i="5"/>
  <c r="S52" i="5" s="1"/>
  <c r="BN58" i="5"/>
  <c r="S58" i="5" s="1"/>
  <c r="BN64" i="5"/>
  <c r="S64" i="5" s="1"/>
  <c r="BP34" i="5"/>
  <c r="U34" i="5" s="1"/>
  <c r="BN123" i="5"/>
  <c r="S123" i="5" s="1"/>
  <c r="BN129" i="5"/>
  <c r="S129" i="5" s="1"/>
  <c r="BN135" i="5"/>
  <c r="S135" i="5" s="1"/>
  <c r="BN141" i="5"/>
  <c r="S141" i="5" s="1"/>
  <c r="BN122" i="5"/>
  <c r="S122" i="5" s="1"/>
  <c r="BN124" i="5"/>
  <c r="S124" i="5" s="1"/>
  <c r="BN130" i="5"/>
  <c r="S130" i="5" s="1"/>
  <c r="BN136" i="5"/>
  <c r="S136" i="5" s="1"/>
  <c r="BN125" i="5"/>
  <c r="S125" i="5" s="1"/>
  <c r="BN131" i="5"/>
  <c r="S131" i="5" s="1"/>
  <c r="BN137" i="5"/>
  <c r="S137" i="5" s="1"/>
  <c r="BN126" i="5"/>
  <c r="S126" i="5" s="1"/>
  <c r="BN132" i="5"/>
  <c r="S132" i="5" s="1"/>
  <c r="BN138" i="5"/>
  <c r="S138" i="5" s="1"/>
  <c r="BN127" i="5"/>
  <c r="S127" i="5" s="1"/>
  <c r="BN133" i="5"/>
  <c r="S133" i="5" s="1"/>
  <c r="BN139" i="5"/>
  <c r="S139" i="5" s="1"/>
  <c r="BN128" i="5"/>
  <c r="S128" i="5" s="1"/>
  <c r="BN134" i="5"/>
  <c r="S134" i="5" s="1"/>
  <c r="BN140" i="5"/>
  <c r="S140" i="5" s="1"/>
  <c r="BP60" i="5"/>
  <c r="U60" i="5" s="1"/>
  <c r="BM63" i="5"/>
  <c r="R63" i="5" s="1"/>
  <c r="BP103" i="5"/>
  <c r="U103" i="5" s="1"/>
  <c r="BN222" i="5"/>
  <c r="S222" i="5" s="1"/>
  <c r="BM125" i="5"/>
  <c r="R125" i="5" s="1"/>
  <c r="BO133" i="5"/>
  <c r="T133" i="5" s="1"/>
  <c r="BP127" i="5"/>
  <c r="U127" i="5" s="1"/>
  <c r="BN41" i="5"/>
  <c r="S41" i="5" s="1"/>
  <c r="BP54" i="5"/>
  <c r="U54" i="5" s="1"/>
  <c r="BM57" i="5"/>
  <c r="R57" i="5" s="1"/>
  <c r="BP97" i="5"/>
  <c r="U97" i="5" s="1"/>
  <c r="BO127" i="5"/>
  <c r="T127" i="5" s="1"/>
  <c r="BP138" i="5"/>
  <c r="U138" i="5" s="1"/>
  <c r="BN171" i="5"/>
  <c r="S171" i="5" s="1"/>
  <c r="BN31" i="5"/>
  <c r="S31" i="5" s="1"/>
  <c r="BP65" i="5"/>
  <c r="U65" i="5" s="1"/>
  <c r="BM51" i="5"/>
  <c r="R51" i="5" s="1"/>
  <c r="BP91" i="5"/>
  <c r="U91" i="5" s="1"/>
  <c r="BM136" i="5"/>
  <c r="R136" i="5" s="1"/>
  <c r="BO138" i="5"/>
  <c r="T138" i="5" s="1"/>
  <c r="BP132" i="5"/>
  <c r="U132" i="5" s="1"/>
  <c r="BO53" i="5"/>
  <c r="T53" i="5" s="1"/>
  <c r="BO59" i="5"/>
  <c r="T59" i="5" s="1"/>
  <c r="BO65" i="5"/>
  <c r="T65" i="5" s="1"/>
  <c r="BO54" i="5"/>
  <c r="T54" i="5" s="1"/>
  <c r="BO60" i="5"/>
  <c r="T60" i="5" s="1"/>
  <c r="BO66" i="5"/>
  <c r="T66" i="5" s="1"/>
  <c r="BO55" i="5"/>
  <c r="T55" i="5" s="1"/>
  <c r="BO61" i="5"/>
  <c r="T61" i="5" s="1"/>
  <c r="BO67" i="5"/>
  <c r="T67" i="5" s="1"/>
  <c r="BO56" i="5"/>
  <c r="T56" i="5" s="1"/>
  <c r="BO62" i="5"/>
  <c r="T62" i="5" s="1"/>
  <c r="BO68" i="5"/>
  <c r="T68" i="5" s="1"/>
  <c r="BO51" i="5"/>
  <c r="T51" i="5" s="1"/>
  <c r="BO57" i="5"/>
  <c r="T57" i="5" s="1"/>
  <c r="BO63" i="5"/>
  <c r="T63" i="5" s="1"/>
  <c r="BO69" i="5"/>
  <c r="T69" i="5" s="1"/>
  <c r="BO52" i="5"/>
  <c r="T52" i="5" s="1"/>
  <c r="BO58" i="5"/>
  <c r="T58" i="5" s="1"/>
  <c r="BO64" i="5"/>
  <c r="T64" i="5" s="1"/>
  <c r="BO50" i="5"/>
  <c r="T50" i="5" s="1"/>
  <c r="BN163" i="5"/>
  <c r="S163" i="5" s="1"/>
  <c r="BN40" i="5"/>
  <c r="S40" i="5" s="1"/>
  <c r="BP59" i="5"/>
  <c r="U59" i="5" s="1"/>
  <c r="BM68" i="5"/>
  <c r="R68" i="5" s="1"/>
  <c r="BM130" i="5"/>
  <c r="R130" i="5" s="1"/>
  <c r="BO132" i="5"/>
  <c r="T132" i="5" s="1"/>
  <c r="BP126" i="5"/>
  <c r="U126" i="5" s="1"/>
  <c r="BN30" i="5"/>
  <c r="S30" i="5" s="1"/>
  <c r="BP53" i="5"/>
  <c r="U53" i="5" s="1"/>
  <c r="BM62" i="5"/>
  <c r="R62" i="5" s="1"/>
  <c r="BP102" i="5"/>
  <c r="U102" i="5" s="1"/>
  <c r="BM124" i="5"/>
  <c r="R124" i="5" s="1"/>
  <c r="BO126" i="5"/>
  <c r="T126" i="5" s="1"/>
  <c r="BP137" i="5"/>
  <c r="U137" i="5" s="1"/>
  <c r="BN39" i="5"/>
  <c r="S39" i="5" s="1"/>
  <c r="BP64" i="5"/>
  <c r="U64" i="5" s="1"/>
  <c r="BM56" i="5"/>
  <c r="R56" i="5" s="1"/>
  <c r="BO89" i="5"/>
  <c r="T89" i="5" s="1"/>
  <c r="BO95" i="5"/>
  <c r="T95" i="5" s="1"/>
  <c r="BO101" i="5"/>
  <c r="T101" i="5" s="1"/>
  <c r="BO90" i="5"/>
  <c r="T90" i="5" s="1"/>
  <c r="BO96" i="5"/>
  <c r="T96" i="5" s="1"/>
  <c r="BO102" i="5"/>
  <c r="T102" i="5" s="1"/>
  <c r="BO85" i="5"/>
  <c r="T85" i="5" s="1"/>
  <c r="BO91" i="5"/>
  <c r="T91" i="5" s="1"/>
  <c r="BO97" i="5"/>
  <c r="T97" i="5" s="1"/>
  <c r="BO103" i="5"/>
  <c r="T103" i="5" s="1"/>
  <c r="BO84" i="5"/>
  <c r="T84" i="5" s="1"/>
  <c r="BO86" i="5"/>
  <c r="T86" i="5" s="1"/>
  <c r="BO92" i="5"/>
  <c r="T92" i="5" s="1"/>
  <c r="BO98" i="5"/>
  <c r="T98" i="5" s="1"/>
  <c r="BO87" i="5"/>
  <c r="T87" i="5" s="1"/>
  <c r="BO93" i="5"/>
  <c r="T93" i="5" s="1"/>
  <c r="BO99" i="5"/>
  <c r="T99" i="5" s="1"/>
  <c r="BO88" i="5"/>
  <c r="T88" i="5" s="1"/>
  <c r="BO94" i="5"/>
  <c r="T94" i="5" s="1"/>
  <c r="BO100" i="5"/>
  <c r="T100" i="5" s="1"/>
  <c r="BP96" i="5"/>
  <c r="U96" i="5" s="1"/>
  <c r="BN239" i="5"/>
  <c r="S239" i="5" s="1"/>
  <c r="BM141" i="5"/>
  <c r="R141" i="5" s="1"/>
  <c r="BO137" i="5"/>
  <c r="T137" i="5" s="1"/>
  <c r="BP131" i="5"/>
  <c r="U131" i="5" s="1"/>
  <c r="BN37" i="5"/>
  <c r="S37" i="5" s="1"/>
  <c r="BP26" i="5"/>
  <c r="U26" i="5" s="1"/>
  <c r="BP58" i="5"/>
  <c r="U58" i="5" s="1"/>
  <c r="BM67" i="5"/>
  <c r="R67" i="5" s="1"/>
  <c r="BO41" i="5"/>
  <c r="T41" i="5" s="1"/>
  <c r="BP90" i="5"/>
  <c r="U90" i="5" s="1"/>
  <c r="BN233" i="5"/>
  <c r="S233" i="5" s="1"/>
  <c r="BM135" i="5"/>
  <c r="R135" i="5" s="1"/>
  <c r="BO131" i="5"/>
  <c r="T131" i="5" s="1"/>
  <c r="BP125" i="5"/>
  <c r="U125" i="5" s="1"/>
  <c r="BN28" i="5"/>
  <c r="S28" i="5" s="1"/>
  <c r="BP35" i="5"/>
  <c r="U35" i="5" s="1"/>
  <c r="BO43" i="5"/>
  <c r="T43" i="5" s="1"/>
  <c r="BM61" i="5"/>
  <c r="R61" i="5" s="1"/>
  <c r="BP101" i="5"/>
  <c r="U101" i="5" s="1"/>
  <c r="BN227" i="5"/>
  <c r="S227" i="5" s="1"/>
  <c r="BO39" i="5"/>
  <c r="T39" i="5" s="1"/>
  <c r="BM129" i="5"/>
  <c r="R129" i="5" s="1"/>
  <c r="BO125" i="5"/>
  <c r="T125" i="5" s="1"/>
  <c r="BP136" i="5"/>
  <c r="U136" i="5" s="1"/>
  <c r="BN178" i="5"/>
  <c r="S178" i="5" s="1"/>
  <c r="BO162" i="5"/>
  <c r="T162" i="5" s="1"/>
  <c r="BO170" i="5"/>
  <c r="T170" i="5" s="1"/>
  <c r="BO178" i="5"/>
  <c r="T178" i="5" s="1"/>
  <c r="BO163" i="5"/>
  <c r="T163" i="5" s="1"/>
  <c r="BO171" i="5"/>
  <c r="T171" i="5" s="1"/>
  <c r="BO159" i="5"/>
  <c r="T159" i="5" s="1"/>
  <c r="BO164" i="5"/>
  <c r="T164" i="5" s="1"/>
  <c r="BO172" i="5"/>
  <c r="T172" i="5" s="1"/>
  <c r="BO165" i="5"/>
  <c r="T165" i="5" s="1"/>
  <c r="BO173" i="5"/>
  <c r="T173" i="5" s="1"/>
  <c r="BO166" i="5"/>
  <c r="T166" i="5" s="1"/>
  <c r="BO174" i="5"/>
  <c r="T174" i="5" s="1"/>
  <c r="BO167" i="5"/>
  <c r="T167" i="5" s="1"/>
  <c r="BO175" i="5"/>
  <c r="T175" i="5" s="1"/>
  <c r="BO160" i="5"/>
  <c r="T160" i="5" s="1"/>
  <c r="BO168" i="5"/>
  <c r="T168" i="5" s="1"/>
  <c r="BO176" i="5"/>
  <c r="T176" i="5" s="1"/>
  <c r="BO161" i="5"/>
  <c r="T161" i="5" s="1"/>
  <c r="BO169" i="5"/>
  <c r="T169" i="5" s="1"/>
  <c r="BO177" i="5"/>
  <c r="T177" i="5" s="1"/>
  <c r="BN42" i="5"/>
  <c r="S42" i="5" s="1"/>
  <c r="BP33" i="5"/>
  <c r="U33" i="5" s="1"/>
  <c r="BO35" i="5"/>
  <c r="T35" i="5" s="1"/>
  <c r="BM55" i="5"/>
  <c r="R55" i="5" s="1"/>
  <c r="BP95" i="5"/>
  <c r="U95" i="5" s="1"/>
  <c r="BN221" i="5"/>
  <c r="S221" i="5" s="1"/>
  <c r="BO136" i="5"/>
  <c r="T136" i="5" s="1"/>
  <c r="BN170" i="5"/>
  <c r="S170" i="5" s="1"/>
  <c r="BM31" i="5"/>
  <c r="R31" i="5" s="1"/>
  <c r="BM39" i="5"/>
  <c r="R39" i="5" s="1"/>
  <c r="BM27" i="5"/>
  <c r="R27" i="5" s="1"/>
  <c r="BM34" i="5"/>
  <c r="R34" i="5" s="1"/>
  <c r="BM42" i="5"/>
  <c r="R42" i="5" s="1"/>
  <c r="BM28" i="5"/>
  <c r="R28" i="5" s="1"/>
  <c r="BM37" i="5"/>
  <c r="R37" i="5" s="1"/>
  <c r="BM38" i="5"/>
  <c r="R38" i="5" s="1"/>
  <c r="BM29" i="5"/>
  <c r="R29" i="5" s="1"/>
  <c r="BM30" i="5"/>
  <c r="R30" i="5" s="1"/>
  <c r="BM40" i="5"/>
  <c r="R40" i="5" s="1"/>
  <c r="BM41" i="5"/>
  <c r="R41" i="5" s="1"/>
  <c r="BM32" i="5"/>
  <c r="R32" i="5" s="1"/>
  <c r="BM43" i="5"/>
  <c r="R43" i="5" s="1"/>
  <c r="BM33" i="5"/>
  <c r="R33" i="5" s="1"/>
  <c r="BM35" i="5"/>
  <c r="R35" i="5" s="1"/>
  <c r="BM26" i="5"/>
  <c r="R26" i="5" s="1"/>
  <c r="BM25" i="5"/>
  <c r="R25" i="5" s="1"/>
  <c r="BM36" i="5"/>
  <c r="R36" i="5" s="1"/>
  <c r="BN34" i="5"/>
  <c r="S34" i="5" s="1"/>
  <c r="BM168" i="5"/>
  <c r="R168" i="5" s="1"/>
  <c r="BM162" i="5"/>
  <c r="R162" i="5" s="1"/>
  <c r="BM173" i="5"/>
  <c r="R173" i="5" s="1"/>
  <c r="BM167" i="5"/>
  <c r="R167" i="5" s="1"/>
  <c r="BM161" i="5"/>
  <c r="R161" i="5" s="1"/>
  <c r="BM178" i="5"/>
  <c r="R178" i="5" s="1"/>
  <c r="BM172" i="5"/>
  <c r="R172" i="5" s="1"/>
  <c r="BM166" i="5"/>
  <c r="R166" i="5" s="1"/>
  <c r="BM160" i="5"/>
  <c r="R160" i="5" s="1"/>
  <c r="BM177" i="5"/>
  <c r="R177" i="5" s="1"/>
  <c r="BM171" i="5"/>
  <c r="R171" i="5" s="1"/>
  <c r="BM174" i="5"/>
  <c r="R174" i="5" s="1"/>
  <c r="BM165" i="5"/>
  <c r="R165" i="5" s="1"/>
  <c r="BM176" i="5"/>
  <c r="R176" i="5" s="1"/>
  <c r="BM170" i="5"/>
  <c r="R170" i="5" s="1"/>
  <c r="BM164" i="5"/>
  <c r="R164" i="5" s="1"/>
  <c r="BM175" i="5"/>
  <c r="R175" i="5" s="1"/>
  <c r="BM163" i="5"/>
  <c r="R163" i="5" s="1"/>
  <c r="BN7" i="5"/>
  <c r="S7" i="5" s="1"/>
  <c r="BO20" i="5"/>
  <c r="T20" i="5" s="1"/>
  <c r="BO12" i="5"/>
  <c r="T12" i="5" s="1"/>
  <c r="BN17" i="5"/>
  <c r="S17" i="5" s="1"/>
  <c r="BN11" i="5"/>
  <c r="S11" i="5" s="1"/>
  <c r="BP3" i="5"/>
  <c r="U3" i="5" s="1"/>
  <c r="BP11" i="5"/>
  <c r="U11" i="5" s="1"/>
  <c r="BP19" i="5"/>
  <c r="U19" i="5" s="1"/>
  <c r="BP4" i="5"/>
  <c r="U4" i="5" s="1"/>
  <c r="BP12" i="5"/>
  <c r="U12" i="5" s="1"/>
  <c r="BP20" i="5"/>
  <c r="U20" i="5" s="1"/>
  <c r="BP5" i="5"/>
  <c r="U5" i="5" s="1"/>
  <c r="BP13" i="5"/>
  <c r="U13" i="5" s="1"/>
  <c r="BP6" i="5"/>
  <c r="U6" i="5" s="1"/>
  <c r="BP14" i="5"/>
  <c r="U14" i="5" s="1"/>
  <c r="BP7" i="5"/>
  <c r="U7" i="5" s="1"/>
  <c r="BP15" i="5"/>
  <c r="U15" i="5" s="1"/>
  <c r="BP8" i="5"/>
  <c r="U8" i="5" s="1"/>
  <c r="BP16" i="5"/>
  <c r="U16" i="5" s="1"/>
  <c r="BP9" i="5"/>
  <c r="U9" i="5" s="1"/>
  <c r="BP17" i="5"/>
  <c r="U17" i="5" s="1"/>
  <c r="BP10" i="5"/>
  <c r="U10" i="5" s="1"/>
  <c r="BP18" i="5"/>
  <c r="U18" i="5" s="1"/>
  <c r="BM4" i="5"/>
  <c r="R4" i="5" s="1"/>
  <c r="BM5" i="5"/>
  <c r="R5" i="5" s="1"/>
  <c r="BM6" i="5"/>
  <c r="R6" i="5" s="1"/>
  <c r="BM7" i="5"/>
  <c r="R7" i="5" s="1"/>
  <c r="BM8" i="5"/>
  <c r="R8" i="5" s="1"/>
  <c r="BM9" i="5"/>
  <c r="R9" i="5" s="1"/>
  <c r="BM10" i="5"/>
  <c r="R10" i="5" s="1"/>
  <c r="BM11" i="5"/>
  <c r="R11" i="5" s="1"/>
  <c r="BM13" i="5"/>
  <c r="R13" i="5" s="1"/>
  <c r="BM12" i="5"/>
  <c r="R12" i="5" s="1"/>
  <c r="BM14" i="5"/>
  <c r="R14" i="5" s="1"/>
  <c r="BM15" i="5"/>
  <c r="R15" i="5" s="1"/>
  <c r="BM16" i="5"/>
  <c r="R16" i="5" s="1"/>
  <c r="BM17" i="5"/>
  <c r="R17" i="5" s="1"/>
  <c r="BM18" i="5"/>
  <c r="R18" i="5" s="1"/>
  <c r="BM19" i="5"/>
  <c r="R19" i="5" s="1"/>
  <c r="BM20" i="5"/>
  <c r="R20" i="5" s="1"/>
  <c r="BM3" i="5"/>
  <c r="R3" i="5" s="1"/>
  <c r="D37" i="6"/>
  <c r="A58" i="6"/>
  <c r="Y41" i="6"/>
  <c r="Z41" i="6" s="1"/>
  <c r="U43" i="6"/>
  <c r="V43" i="6" s="1"/>
  <c r="AA43" i="6"/>
  <c r="AB43" i="6" s="1"/>
  <c r="AA44" i="6"/>
  <c r="AB44" i="6" s="1"/>
  <c r="AA57" i="6"/>
  <c r="AB57" i="6" s="1"/>
  <c r="AA42" i="6"/>
  <c r="AB42" i="6" s="1"/>
  <c r="AA41" i="6"/>
  <c r="AB41" i="6" s="1"/>
  <c r="AA40" i="6"/>
  <c r="AB40" i="6" s="1"/>
  <c r="A74" i="6"/>
  <c r="I74" i="6" s="1"/>
  <c r="D74" i="6" s="1"/>
  <c r="R2" i="6"/>
  <c r="Q9" i="6"/>
  <c r="R20" i="6"/>
  <c r="R19" i="6"/>
  <c r="R18" i="6"/>
  <c r="R17" i="6"/>
  <c r="R16" i="6"/>
  <c r="Q2" i="6"/>
  <c r="R15" i="6"/>
  <c r="Q20" i="6"/>
  <c r="R14" i="6"/>
  <c r="R13" i="6"/>
  <c r="Q3" i="6"/>
  <c r="Q19" i="6"/>
  <c r="Q18" i="6"/>
  <c r="R12" i="6"/>
  <c r="R11" i="6"/>
  <c r="Q16" i="6"/>
  <c r="R10" i="6"/>
  <c r="Q17" i="6"/>
  <c r="Q15" i="6"/>
  <c r="R9" i="6"/>
  <c r="R8" i="6"/>
  <c r="Q4" i="6"/>
  <c r="Q14" i="6"/>
  <c r="Q13" i="6"/>
  <c r="R6" i="6"/>
  <c r="R5" i="6"/>
  <c r="Q12" i="6"/>
  <c r="Q11" i="6"/>
  <c r="R4" i="6"/>
  <c r="R3" i="6"/>
  <c r="Q8" i="6"/>
  <c r="Q6" i="6"/>
  <c r="Q10" i="6"/>
  <c r="Q5" i="6"/>
  <c r="N40" i="6"/>
  <c r="I40" i="6" s="1"/>
  <c r="D40" i="6" s="1"/>
  <c r="N41" i="6"/>
  <c r="I41" i="6" s="1"/>
  <c r="D41" i="6" s="1"/>
  <c r="N42" i="6"/>
  <c r="I42" i="6" s="1"/>
  <c r="D42" i="6" s="1"/>
  <c r="N43" i="6"/>
  <c r="I43" i="6" s="1"/>
  <c r="D43" i="6" s="1"/>
  <c r="N44" i="6"/>
  <c r="I44" i="6" s="1"/>
  <c r="D44" i="6" s="1"/>
  <c r="U41" i="6"/>
  <c r="V41" i="6" s="1"/>
  <c r="U40" i="6"/>
  <c r="U42" i="6"/>
  <c r="V42" i="6" s="1"/>
  <c r="U44" i="6"/>
  <c r="V44" i="6" s="1"/>
  <c r="R57" i="6"/>
  <c r="Q57" i="6"/>
  <c r="R42" i="6"/>
  <c r="R40" i="6"/>
  <c r="Y42" i="6"/>
  <c r="Z42" i="6" s="1"/>
  <c r="W40" i="6"/>
  <c r="Q40" i="6"/>
  <c r="Y40" i="6"/>
  <c r="W42" i="6"/>
  <c r="X42" i="6" s="1"/>
  <c r="S42" i="6"/>
  <c r="T42" i="6" s="1"/>
  <c r="Q44" i="6"/>
  <c r="R44" i="6"/>
  <c r="S44" i="6"/>
  <c r="T44" i="6" s="1"/>
  <c r="Y44" i="6"/>
  <c r="Z44" i="6" s="1"/>
  <c r="Q43" i="6"/>
  <c r="Y43" i="6"/>
  <c r="Z43" i="6" s="1"/>
  <c r="R43" i="6"/>
  <c r="W43" i="6"/>
  <c r="X43" i="6" s="1"/>
  <c r="S43" i="6"/>
  <c r="T43" i="6" s="1"/>
  <c r="Q41" i="6"/>
  <c r="W41" i="6"/>
  <c r="X41" i="6" s="1"/>
  <c r="S41" i="6"/>
  <c r="T41" i="6" s="1"/>
  <c r="R41" i="6"/>
  <c r="J37" i="6"/>
  <c r="K58" i="6"/>
  <c r="AH27" i="5" l="1"/>
  <c r="AI52" i="5"/>
  <c r="AF52" i="5"/>
  <c r="AH161" i="5"/>
  <c r="AG86" i="5"/>
  <c r="AG161" i="5"/>
  <c r="AH124" i="5"/>
  <c r="AG222" i="5"/>
  <c r="AF161" i="5"/>
  <c r="AG5" i="5"/>
  <c r="AG27" i="5"/>
  <c r="AI222" i="5"/>
  <c r="AG124" i="5"/>
  <c r="AF86" i="5"/>
  <c r="AI5" i="5"/>
  <c r="AF27" i="5"/>
  <c r="AF222" i="5"/>
  <c r="AH5" i="5"/>
  <c r="AH222" i="5"/>
  <c r="AI161" i="5"/>
  <c r="AF124" i="5"/>
  <c r="AG52" i="5"/>
  <c r="AH86" i="5"/>
  <c r="AI86" i="5"/>
  <c r="AF5" i="5"/>
  <c r="AI124" i="5"/>
  <c r="AH52" i="5"/>
  <c r="AI27" i="5"/>
  <c r="Z74" i="6"/>
  <c r="W75" i="6"/>
  <c r="V72" i="6"/>
  <c r="Y71" i="6"/>
  <c r="X220" i="5"/>
  <c r="V221" i="5"/>
  <c r="Y224" i="5"/>
  <c r="X221" i="5"/>
  <c r="W225" i="5"/>
  <c r="Y225" i="5"/>
  <c r="W224" i="5"/>
  <c r="W221" i="5"/>
  <c r="V222" i="5"/>
  <c r="Y221" i="5"/>
  <c r="Y220" i="5"/>
  <c r="X225" i="5"/>
  <c r="W222" i="5"/>
  <c r="Y222" i="5"/>
  <c r="W223" i="5"/>
  <c r="M3" i="5"/>
  <c r="M4" i="5"/>
  <c r="M5" i="5"/>
  <c r="M6" i="5"/>
  <c r="V225" i="5"/>
  <c r="X222" i="5"/>
  <c r="V220" i="5"/>
  <c r="W220" i="5"/>
  <c r="V224" i="5"/>
  <c r="V223" i="5"/>
  <c r="Y223" i="5"/>
  <c r="X224" i="5"/>
  <c r="X223" i="5"/>
  <c r="B75" i="6"/>
  <c r="O75" i="6" s="1"/>
  <c r="D71" i="6"/>
  <c r="B72" i="6"/>
  <c r="O72" i="6" s="1"/>
  <c r="S58" i="6"/>
  <c r="T58" i="6" s="1"/>
  <c r="T60" i="6" s="1"/>
  <c r="C61" i="6" s="1"/>
  <c r="B73" i="6" s="1"/>
  <c r="O73" i="6" s="1"/>
  <c r="P73" i="6" s="1"/>
  <c r="S73" i="6" s="1"/>
  <c r="AA58" i="6"/>
  <c r="AB58" i="6" s="1"/>
  <c r="AB60" i="6" s="1"/>
  <c r="C62" i="6" s="1"/>
  <c r="R58" i="6"/>
  <c r="Q58" i="6"/>
  <c r="V2" i="6"/>
  <c r="U2" i="6"/>
  <c r="T2" i="6"/>
  <c r="S2" i="6"/>
  <c r="X40" i="6"/>
  <c r="X46" i="6" s="1"/>
  <c r="C63" i="6" s="1"/>
  <c r="V40" i="6"/>
  <c r="V46" i="6" s="1"/>
  <c r="Z40" i="6"/>
  <c r="Z46" i="6" s="1"/>
  <c r="C49" i="6" s="1"/>
  <c r="Y45" i="6"/>
  <c r="Y59" i="6" s="1"/>
  <c r="W45" i="6"/>
  <c r="W59" i="6" s="1"/>
  <c r="R45" i="6"/>
  <c r="U45" i="6"/>
  <c r="Q45" i="6"/>
  <c r="AA45" i="6"/>
  <c r="S45" i="6"/>
  <c r="J9" i="6"/>
  <c r="J5" i="6"/>
  <c r="J4" i="6"/>
  <c r="A1" i="6"/>
  <c r="I73" i="6" l="1"/>
  <c r="D73" i="6" s="1"/>
  <c r="I63" i="6"/>
  <c r="D63" i="6" s="1"/>
  <c r="K104" i="6"/>
  <c r="A12" i="6" s="1"/>
  <c r="L40" i="6"/>
  <c r="J51" i="6"/>
  <c r="I51" i="6" s="1"/>
  <c r="D51" i="6" s="1"/>
  <c r="L57" i="6"/>
  <c r="L58" i="6"/>
  <c r="Q75" i="6"/>
  <c r="T75" i="6" s="1"/>
  <c r="Z75" i="6" s="1"/>
  <c r="Z84" i="6" s="1"/>
  <c r="L42" i="6"/>
  <c r="L41" i="6"/>
  <c r="L43" i="6"/>
  <c r="L44" i="6"/>
  <c r="I50" i="6"/>
  <c r="D50" i="6" s="1"/>
  <c r="Q69" i="6"/>
  <c r="P72" i="6"/>
  <c r="AA59" i="6"/>
  <c r="AB47" i="6"/>
  <c r="AB46" i="6"/>
  <c r="T46" i="6"/>
  <c r="S46" i="6"/>
  <c r="S59" i="6" s="1"/>
  <c r="C47" i="6"/>
  <c r="I47" i="6" s="1"/>
  <c r="D47" i="6" s="1"/>
  <c r="C48" i="6"/>
  <c r="I48" i="6" s="1"/>
  <c r="D48" i="6" s="1"/>
  <c r="I49" i="6"/>
  <c r="D49" i="6" s="1"/>
  <c r="Q46" i="6"/>
  <c r="Q59" i="6" s="1"/>
  <c r="R46" i="6"/>
  <c r="L30" i="6"/>
  <c r="I30" i="6" s="1"/>
  <c r="D30" i="6" s="1"/>
  <c r="L31" i="6"/>
  <c r="I31" i="6" s="1"/>
  <c r="D31" i="6" s="1"/>
  <c r="L32" i="6"/>
  <c r="I32" i="6" s="1"/>
  <c r="D32" i="6" s="1"/>
  <c r="L33" i="6"/>
  <c r="I33" i="6" s="1"/>
  <c r="D33" i="6" s="1"/>
  <c r="U59" i="6"/>
  <c r="B124" i="5"/>
  <c r="B123" i="5"/>
  <c r="B122" i="5"/>
  <c r="B121" i="5"/>
  <c r="B120" i="5"/>
  <c r="B119" i="5"/>
  <c r="B118" i="5"/>
  <c r="B117" i="5"/>
  <c r="B116" i="5"/>
  <c r="B110" i="5"/>
  <c r="B109" i="5"/>
  <c r="B108" i="5"/>
  <c r="B107" i="5"/>
  <c r="B106" i="5"/>
  <c r="B105" i="5"/>
  <c r="B104" i="5"/>
  <c r="B103" i="5"/>
  <c r="B99" i="5"/>
  <c r="B98" i="5"/>
  <c r="B97" i="5"/>
  <c r="B96" i="5"/>
  <c r="B95" i="5"/>
  <c r="B94" i="5"/>
  <c r="B93" i="5"/>
  <c r="B92" i="5"/>
  <c r="B88" i="5"/>
  <c r="B87" i="5"/>
  <c r="B86" i="5"/>
  <c r="B85" i="5"/>
  <c r="B84" i="5"/>
  <c r="B83" i="5"/>
  <c r="B82" i="5"/>
  <c r="B81" i="5"/>
  <c r="B77" i="5"/>
  <c r="B76" i="5"/>
  <c r="B75" i="5"/>
  <c r="B74" i="5"/>
  <c r="B73" i="5"/>
  <c r="B72" i="5"/>
  <c r="B71" i="5"/>
  <c r="B70" i="5"/>
  <c r="C68" i="6" l="1"/>
  <c r="I61" i="6"/>
  <c r="D61" i="6" s="1"/>
  <c r="I62" i="6"/>
  <c r="D62" i="6" s="1"/>
  <c r="J92" i="6"/>
  <c r="A92" i="6" s="1"/>
  <c r="J91" i="6"/>
  <c r="A91" i="6" s="1"/>
  <c r="P80" i="6"/>
  <c r="M89" i="6" s="1"/>
  <c r="C89" i="6" s="1"/>
  <c r="S72" i="6"/>
  <c r="B51" i="6"/>
  <c r="C36" i="6"/>
  <c r="Q80" i="6"/>
  <c r="M92" i="6" s="1"/>
  <c r="C92" i="6" s="1"/>
  <c r="I92" i="6" s="1"/>
  <c r="D92" i="6" s="1"/>
  <c r="C64" i="6"/>
  <c r="I64" i="6" s="1"/>
  <c r="D64" i="6" s="1"/>
  <c r="R47" i="6"/>
  <c r="C50" i="6" s="1"/>
  <c r="M58" i="6"/>
  <c r="I58" i="6" s="1"/>
  <c r="D58" i="6" s="1"/>
  <c r="M43" i="6"/>
  <c r="M90" i="6" l="1"/>
  <c r="C90" i="6" s="1"/>
  <c r="I90" i="6" s="1"/>
  <c r="D90" i="6" s="1"/>
  <c r="V83" i="6"/>
  <c r="Y83" i="6" s="1"/>
  <c r="V74" i="6"/>
  <c r="V75" i="6"/>
  <c r="V82" i="6"/>
  <c r="Y82" i="6" s="1"/>
  <c r="V73" i="6"/>
  <c r="Y73" i="6" s="1"/>
  <c r="V81" i="6"/>
  <c r="Y81" i="6" s="1"/>
  <c r="Y72" i="6"/>
  <c r="M91" i="6"/>
  <c r="C91" i="6" s="1"/>
  <c r="I91" i="6" s="1"/>
  <c r="D91" i="6" s="1"/>
  <c r="I83" i="6"/>
  <c r="D83" i="6" s="1"/>
  <c r="I82" i="6"/>
  <c r="D82" i="6" s="1"/>
  <c r="I81" i="6"/>
  <c r="D81" i="6" s="1"/>
  <c r="I89" i="6"/>
  <c r="R59" i="6"/>
  <c r="M57" i="6"/>
  <c r="I57" i="6" s="1"/>
  <c r="D57" i="6" s="1"/>
  <c r="M44" i="6"/>
  <c r="M42" i="6"/>
  <c r="M41" i="6"/>
  <c r="M40" i="6"/>
  <c r="Y84" i="6" l="1"/>
  <c r="J90" i="6" s="1"/>
  <c r="A90" i="6" s="1"/>
  <c r="D89" i="6"/>
  <c r="C93" i="6"/>
  <c r="C78" i="6"/>
  <c r="C65" i="6"/>
  <c r="I65" i="6" s="1"/>
  <c r="D65" i="6" s="1"/>
  <c r="J89" i="6" l="1"/>
  <c r="A89" i="6" s="1"/>
  <c r="I93" i="6"/>
  <c r="D93" i="6" s="1"/>
  <c r="C54" i="6"/>
  <c r="C86" i="6" l="1"/>
  <c r="I10" i="6"/>
  <c r="D10" i="6" s="1"/>
  <c r="I8" i="6"/>
  <c r="D8" i="6" s="1"/>
  <c r="I5" i="6"/>
  <c r="D5" i="6" s="1"/>
  <c r="I4" i="6"/>
  <c r="D4" i="6" s="1"/>
  <c r="C3" i="6" l="1"/>
  <c r="L27" i="6" l="1"/>
  <c r="I27" i="6" s="1"/>
  <c r="D27" i="6" s="1"/>
  <c r="L26" i="6"/>
  <c r="I26" i="6" s="1"/>
  <c r="D26" i="6" s="1"/>
  <c r="L25" i="6"/>
  <c r="I25" i="6" s="1"/>
  <c r="D25" i="6" s="1"/>
  <c r="L24" i="6"/>
  <c r="I24" i="6" s="1"/>
  <c r="D24" i="6" s="1"/>
  <c r="C20" i="6" l="1"/>
  <c r="AA161" i="5"/>
  <c r="AB161" i="5" s="1"/>
  <c r="AA124" i="5"/>
  <c r="AB124" i="5" s="1"/>
  <c r="AA86" i="5"/>
  <c r="AB86" i="5" s="1"/>
  <c r="AA52" i="5"/>
  <c r="AB52" i="5" s="1"/>
  <c r="AA27" i="5"/>
  <c r="AB27" i="5" s="1"/>
  <c r="AA5" i="5"/>
  <c r="AB5" i="5" s="1"/>
  <c r="AD1" i="5"/>
  <c r="Y164" i="5"/>
  <c r="X164" i="5"/>
  <c r="W164" i="5"/>
  <c r="V164" i="5"/>
  <c r="Y163" i="5"/>
  <c r="X163" i="5"/>
  <c r="W163" i="5"/>
  <c r="V163" i="5"/>
  <c r="Y129" i="5"/>
  <c r="X129" i="5"/>
  <c r="W129" i="5"/>
  <c r="V129" i="5"/>
  <c r="Y128" i="5"/>
  <c r="X128" i="5"/>
  <c r="W128" i="5"/>
  <c r="V128" i="5"/>
  <c r="Y127" i="5"/>
  <c r="X127" i="5"/>
  <c r="W127" i="5"/>
  <c r="V127" i="5"/>
  <c r="Y126" i="5"/>
  <c r="X126" i="5"/>
  <c r="W126" i="5"/>
  <c r="V126" i="5"/>
  <c r="Y125" i="5"/>
  <c r="X125" i="5"/>
  <c r="W125" i="5"/>
  <c r="V125" i="5"/>
  <c r="Y124" i="5"/>
  <c r="X124" i="5"/>
  <c r="W124" i="5"/>
  <c r="V124" i="5"/>
  <c r="Y123" i="5"/>
  <c r="X123" i="5"/>
  <c r="W123" i="5"/>
  <c r="V123" i="5"/>
  <c r="Y122" i="5"/>
  <c r="X122" i="5"/>
  <c r="W122" i="5"/>
  <c r="V122" i="5"/>
  <c r="Y91" i="5"/>
  <c r="X91" i="5"/>
  <c r="W91" i="5"/>
  <c r="V91" i="5"/>
  <c r="Y90" i="5"/>
  <c r="X90" i="5"/>
  <c r="W90" i="5"/>
  <c r="V90" i="5"/>
  <c r="Y89" i="5"/>
  <c r="X89" i="5"/>
  <c r="W89" i="5"/>
  <c r="V89" i="5"/>
  <c r="Y88" i="5"/>
  <c r="X88" i="5"/>
  <c r="W88" i="5"/>
  <c r="V88" i="5"/>
  <c r="Y87" i="5"/>
  <c r="X87" i="5"/>
  <c r="W87" i="5"/>
  <c r="V87" i="5"/>
  <c r="Y86" i="5"/>
  <c r="X86" i="5"/>
  <c r="W86" i="5"/>
  <c r="V86" i="5"/>
  <c r="Y85" i="5"/>
  <c r="X85" i="5"/>
  <c r="W85" i="5"/>
  <c r="V85" i="5"/>
  <c r="Y84" i="5"/>
  <c r="X84" i="5"/>
  <c r="W84" i="5"/>
  <c r="V84" i="5"/>
  <c r="AC5" i="5" l="1"/>
  <c r="AC27" i="5"/>
  <c r="AC52" i="5"/>
  <c r="AC161" i="5"/>
  <c r="AC86" i="5"/>
  <c r="AC124" i="5"/>
  <c r="K57" i="6" l="1"/>
  <c r="AD161" i="5"/>
  <c r="AD124" i="5"/>
  <c r="K44" i="6" s="1"/>
  <c r="AF1" i="5"/>
  <c r="AD5" i="5"/>
  <c r="K40" i="6" s="1"/>
  <c r="AD52" i="5"/>
  <c r="K42" i="6" s="1"/>
  <c r="AD86" i="5"/>
  <c r="K43" i="6" s="1"/>
  <c r="AD27" i="5"/>
  <c r="K41" i="6" s="1"/>
  <c r="AE1" i="5" l="1"/>
  <c r="K16" i="6" l="1"/>
  <c r="I16" i="6" s="1"/>
  <c r="D16" i="6" s="1"/>
  <c r="K15" i="6"/>
  <c r="I15" i="6" s="1"/>
  <c r="D15" i="6" s="1"/>
  <c r="K17" i="6"/>
  <c r="I17" i="6" s="1"/>
  <c r="D17" i="6" s="1"/>
  <c r="C13" i="6" l="1"/>
  <c r="I104" i="6"/>
  <c r="B104" i="6" s="1"/>
</calcChain>
</file>

<file path=xl/sharedStrings.xml><?xml version="1.0" encoding="utf-8"?>
<sst xmlns="http://schemas.openxmlformats.org/spreadsheetml/2006/main" count="1222" uniqueCount="301">
  <si>
    <t>Wahl</t>
  </si>
  <si>
    <t>Alternative</t>
  </si>
  <si>
    <t>Deutsch</t>
  </si>
  <si>
    <t>Englisch</t>
  </si>
  <si>
    <t>Französisch</t>
  </si>
  <si>
    <t>Latein</t>
  </si>
  <si>
    <t>Geschichte</t>
  </si>
  <si>
    <t>Mathematik</t>
  </si>
  <si>
    <t>Politik-Wirtschaft</t>
  </si>
  <si>
    <t>Erdkunde</t>
  </si>
  <si>
    <t>Ev. Religion</t>
  </si>
  <si>
    <t>Biologie</t>
  </si>
  <si>
    <t>Chemie</t>
  </si>
  <si>
    <t>Physik</t>
  </si>
  <si>
    <t>Informatik</t>
  </si>
  <si>
    <t>Musik</t>
  </si>
  <si>
    <t>Kunst</t>
  </si>
  <si>
    <t>Darstellendes Spiel</t>
  </si>
  <si>
    <t>Werte und Normen</t>
  </si>
  <si>
    <t/>
  </si>
  <si>
    <t>Griechisch</t>
  </si>
  <si>
    <t>Spanisch</t>
  </si>
  <si>
    <t>BI</t>
  </si>
  <si>
    <t>CH</t>
  </si>
  <si>
    <t>DE</t>
  </si>
  <si>
    <t>EN</t>
  </si>
  <si>
    <t>FR</t>
  </si>
  <si>
    <t>GE</t>
  </si>
  <si>
    <t>GR</t>
  </si>
  <si>
    <t>KU</t>
  </si>
  <si>
    <t>LA</t>
  </si>
  <si>
    <t>MA</t>
  </si>
  <si>
    <t>MU</t>
  </si>
  <si>
    <t>PH</t>
  </si>
  <si>
    <t>PO</t>
  </si>
  <si>
    <t>SP</t>
  </si>
  <si>
    <t>DS</t>
  </si>
  <si>
    <t>EK</t>
  </si>
  <si>
    <t>RE</t>
  </si>
  <si>
    <t>IF</t>
  </si>
  <si>
    <t>SN</t>
  </si>
  <si>
    <t>WN</t>
  </si>
  <si>
    <t>Bi</t>
  </si>
  <si>
    <t>Ch</t>
  </si>
  <si>
    <t>Ds</t>
  </si>
  <si>
    <t>De</t>
  </si>
  <si>
    <t>En</t>
  </si>
  <si>
    <t>Ek</t>
  </si>
  <si>
    <t>Re</t>
  </si>
  <si>
    <t>Fr</t>
  </si>
  <si>
    <t>Ge</t>
  </si>
  <si>
    <t>Gr</t>
  </si>
  <si>
    <t>If</t>
  </si>
  <si>
    <t>Ku</t>
  </si>
  <si>
    <t>La</t>
  </si>
  <si>
    <t>Ma</t>
  </si>
  <si>
    <t>Mu</t>
  </si>
  <si>
    <t>Ph</t>
  </si>
  <si>
    <t>Po</t>
  </si>
  <si>
    <t>Sn</t>
  </si>
  <si>
    <t>Wn</t>
  </si>
  <si>
    <t>Sport</t>
  </si>
  <si>
    <t>Seminarfach</t>
  </si>
  <si>
    <t>Sp</t>
  </si>
  <si>
    <t>SF</t>
  </si>
  <si>
    <t>Sf</t>
  </si>
  <si>
    <t>Vorname:</t>
  </si>
  <si>
    <t>eN</t>
  </si>
  <si>
    <t>ja</t>
  </si>
  <si>
    <t>nein</t>
  </si>
  <si>
    <t>bI</t>
  </si>
  <si>
    <t>cH</t>
  </si>
  <si>
    <t>dE</t>
  </si>
  <si>
    <t>eK</t>
  </si>
  <si>
    <t>fR</t>
  </si>
  <si>
    <t>gE</t>
  </si>
  <si>
    <t>gR</t>
  </si>
  <si>
    <t>iF</t>
  </si>
  <si>
    <t>kU</t>
  </si>
  <si>
    <t>lA</t>
  </si>
  <si>
    <t>mA</t>
  </si>
  <si>
    <t>mU</t>
  </si>
  <si>
    <t>pH</t>
  </si>
  <si>
    <t>sN</t>
  </si>
  <si>
    <t>dS</t>
  </si>
  <si>
    <t>rE</t>
  </si>
  <si>
    <t>pO</t>
  </si>
  <si>
    <t>wN</t>
  </si>
  <si>
    <t>sp</t>
  </si>
  <si>
    <t>sf</t>
  </si>
  <si>
    <t>x</t>
  </si>
  <si>
    <t>Sportkurse</t>
  </si>
  <si>
    <t>Aktuelle Schule:</t>
  </si>
  <si>
    <t>Johanneum</t>
  </si>
  <si>
    <t>Andere Schule</t>
  </si>
  <si>
    <t>Nachname:</t>
  </si>
  <si>
    <t>Falls Johanneum, Schülernummer:</t>
  </si>
  <si>
    <t>Falls andere Schule, Schulname:</t>
  </si>
  <si>
    <t>Mögliche Fächer für Prüfungsfach P4</t>
  </si>
  <si>
    <t>1 - sprachlich</t>
  </si>
  <si>
    <t>2 - musisch-künstl.</t>
  </si>
  <si>
    <t>3 - gesellschaftsw.</t>
  </si>
  <si>
    <t>4 - mathematisch - natur</t>
  </si>
  <si>
    <t>Mögliche Fächer für Prüfungsfach P5</t>
  </si>
  <si>
    <t>Mögliche Fächer für Prüfungsfach P1</t>
  </si>
  <si>
    <t>Mögliche Fächer für Prüfungsfach P2</t>
  </si>
  <si>
    <t>Mögliche Fächer für Prüfungsfach P3</t>
  </si>
  <si>
    <t>Max. Stunden in den Semestern:</t>
  </si>
  <si>
    <t>Schnitt:</t>
  </si>
  <si>
    <t>Musisch-künstlerischer Schwerpunkt</t>
  </si>
  <si>
    <t>Sprachlicher Schwerpunkt</t>
  </si>
  <si>
    <t>Gesellschaftswissenschaftlicher Schwerpunkt</t>
  </si>
  <si>
    <t>Mathematisch-naturwissenschaftl. Schwerpunkt</t>
  </si>
  <si>
    <t>P1</t>
  </si>
  <si>
    <t>P2</t>
  </si>
  <si>
    <t>P3</t>
  </si>
  <si>
    <t>P4</t>
  </si>
  <si>
    <t>P5</t>
  </si>
  <si>
    <t>Mögliche Fächer für Ergänzungskurse</t>
  </si>
  <si>
    <t>R</t>
  </si>
  <si>
    <t>S</t>
  </si>
  <si>
    <t>T</t>
  </si>
  <si>
    <t>U</t>
  </si>
  <si>
    <t>Beim Ändern der Eintragungen nicht mit "Ausschneiden" arbeiten.</t>
  </si>
  <si>
    <t>NUR mit Copy&amp;Paste und Löschen mit ENTF</t>
  </si>
  <si>
    <t>alle</t>
  </si>
  <si>
    <t>Rudern</t>
  </si>
  <si>
    <t>Badminton</t>
  </si>
  <si>
    <t>Basketball</t>
  </si>
  <si>
    <t>Fußball</t>
  </si>
  <si>
    <t>Hockey</t>
  </si>
  <si>
    <t>Volleyball</t>
  </si>
  <si>
    <t>Skaten</t>
  </si>
  <si>
    <t>Orientieren</t>
  </si>
  <si>
    <t>Fremdsprachenerfüllung für gesellschaftswiss. Schwerpunkt</t>
  </si>
  <si>
    <t>Bewegungsfeldgruppe A:</t>
  </si>
  <si>
    <t>Bewegungsfeldgruppe B:</t>
  </si>
  <si>
    <t>Seminarfach:</t>
  </si>
  <si>
    <t>Dropdown-Menü und Themen aus diesen Daten</t>
  </si>
  <si>
    <t>Leichtathletik</t>
  </si>
  <si>
    <t>Endzonenspiele</t>
  </si>
  <si>
    <t>Sportkurse:</t>
  </si>
  <si>
    <t>Seminarfächer:</t>
  </si>
  <si>
    <t>sf1: Irgendwas mit Medien</t>
  </si>
  <si>
    <t>sf2: Sportbiologie</t>
  </si>
  <si>
    <t>sf3: Geschichte NTW</t>
  </si>
  <si>
    <t>sf4: Infektion und Pandemien</t>
  </si>
  <si>
    <t>sf5: Ernährung</t>
  </si>
  <si>
    <t>Für Wechselwünsche:</t>
  </si>
  <si>
    <t>Code</t>
  </si>
  <si>
    <t>Überschriften:</t>
  </si>
  <si>
    <t>A in Hex</t>
  </si>
  <si>
    <t>A in Dez</t>
  </si>
  <si>
    <t>B in Hex</t>
  </si>
  <si>
    <t>B in Dez</t>
  </si>
  <si>
    <t>Sprachlich</t>
  </si>
  <si>
    <t>Math.-naturwissenschaftl.</t>
  </si>
  <si>
    <t>Musisch-künstlerisch</t>
  </si>
  <si>
    <t>Gesellschaftswiss.</t>
  </si>
  <si>
    <t>Angabe des Schwerpunktes:</t>
  </si>
  <si>
    <t>Ski/Snowboard</t>
  </si>
  <si>
    <t>Wahlen zur Qualifikationsphase Abitur 2025</t>
  </si>
  <si>
    <t>Voraussichtlich sportunfähig?</t>
  </si>
  <si>
    <t>O1</t>
  </si>
  <si>
    <t>O2</t>
  </si>
  <si>
    <t>Mögliche Fächer für (ohne O2)</t>
  </si>
  <si>
    <t>Mögliche Fächer für (ohne O1)</t>
  </si>
  <si>
    <t>Deutsch?</t>
  </si>
  <si>
    <t>Mathe?</t>
  </si>
  <si>
    <t>FS?</t>
  </si>
  <si>
    <t>AGF A</t>
  </si>
  <si>
    <t>AGF B</t>
  </si>
  <si>
    <t>AGF C</t>
  </si>
  <si>
    <t>Wahl der Prüfungsfächer</t>
  </si>
  <si>
    <t>P-Check: Aus jedem Aufgabenfeld mind. ein Fach:</t>
  </si>
  <si>
    <t>NW</t>
  </si>
  <si>
    <t>Summe</t>
  </si>
  <si>
    <t>P1   (eA, 5-stündig)</t>
  </si>
  <si>
    <t>P3   (eA, 5-stündig)</t>
  </si>
  <si>
    <t>P4   (gA, schriftlich)</t>
  </si>
  <si>
    <t>P5   (gA, mündlich)</t>
  </si>
  <si>
    <t>P2   (eA, 5-stündig)</t>
  </si>
  <si>
    <t>O1   (gA, ohne Abiturprüfung)</t>
  </si>
  <si>
    <t>Persönliche Daten</t>
  </si>
  <si>
    <t xml:space="preserve"> </t>
  </si>
  <si>
    <t>Anzahlen</t>
  </si>
  <si>
    <t>Anzahl</t>
  </si>
  <si>
    <t>Wahl der Ergänzungsfächer</t>
  </si>
  <si>
    <t>Aufgabenfeld A:</t>
  </si>
  <si>
    <t>Fremdsprachen</t>
  </si>
  <si>
    <t>Aufgabenfeld B:</t>
  </si>
  <si>
    <t>Religion</t>
  </si>
  <si>
    <t>Aufgabenfeld C:</t>
  </si>
  <si>
    <t>AnzahlP</t>
  </si>
  <si>
    <t xml:space="preserve">Aufgabenfeld A:  </t>
  </si>
  <si>
    <t xml:space="preserve">Aufgabenfeld B:  </t>
  </si>
  <si>
    <t xml:space="preserve">Aufgabenfeld C:  </t>
  </si>
  <si>
    <t>Kunst/Musik/Darstellendes Spiel</t>
  </si>
  <si>
    <t>Zweite Fremdsprache:</t>
  </si>
  <si>
    <t>Sprachfeststellungsprüfung</t>
  </si>
  <si>
    <t>FS genau</t>
  </si>
  <si>
    <t>P1,P2</t>
  </si>
  <si>
    <t>P1,P3</t>
  </si>
  <si>
    <t>&lt;= Anzahl richtige Schwerpunktkurse</t>
  </si>
  <si>
    <t>P-Check Schwerpunktfächer:</t>
  </si>
  <si>
    <t>NTW genau</t>
  </si>
  <si>
    <t>Belegungs-Check: Fremdspachen, Naturwissenschaften, Gesellschaftswissenschaften:</t>
  </si>
  <si>
    <t>Deutsch:</t>
  </si>
  <si>
    <t>Mathematik:</t>
  </si>
  <si>
    <t>Johanneum Lüneburg</t>
  </si>
  <si>
    <t>Kommentar</t>
  </si>
  <si>
    <t>Wahl/Pflicht</t>
  </si>
  <si>
    <t>3. Fremdsprache</t>
  </si>
  <si>
    <t>Stunden 12</t>
  </si>
  <si>
    <t>Stunden 13</t>
  </si>
  <si>
    <t>Ges.Std.</t>
  </si>
  <si>
    <t>Stunden</t>
  </si>
  <si>
    <t>P-Check: Mindestens 2 aus Deutsch, Mathe, 1./2. Fremdspr.:</t>
  </si>
  <si>
    <t>Wahl des Wahlfachs</t>
  </si>
  <si>
    <t>Naturwissenschaft</t>
  </si>
  <si>
    <t>1./2. Fremdsprache</t>
  </si>
  <si>
    <t>Wahlfach 3.FS</t>
  </si>
  <si>
    <t>Wahlfach 1./2.FS</t>
  </si>
  <si>
    <t>Wachfach NW</t>
  </si>
  <si>
    <t>Schnitt (mindestens 32):</t>
  </si>
  <si>
    <t>Kenntnisnahme der Erziehungsberechtigten</t>
  </si>
  <si>
    <t>Hier bestätige ich, dass meine Erziehungsberechtigten Kenntnis von meinen</t>
  </si>
  <si>
    <t>Sportarten mit Kosten:</t>
  </si>
  <si>
    <t>Tennis</t>
  </si>
  <si>
    <t>Kommentar/Bemerkung:</t>
  </si>
  <si>
    <t>Die Maximalanzahl beträgt in den 4 Semestern (37/37/37/35) Stunden.</t>
  </si>
  <si>
    <t>2. Fremdsprache:</t>
  </si>
  <si>
    <t>Nicht-belegte FS raussortieren</t>
  </si>
  <si>
    <t>Sortiernummer</t>
  </si>
  <si>
    <t>Rang</t>
  </si>
  <si>
    <t>Wiederholung</t>
  </si>
  <si>
    <t>Sortierte Liste</t>
  </si>
  <si>
    <t>Nr. 1 - …</t>
  </si>
  <si>
    <t>&lt;=  Prüfung Sprachfeststellungsprüfung und gesell./sprachl.</t>
  </si>
  <si>
    <t>Mögliche Fächer für Wahlfach 1./2. Fremdsprache</t>
  </si>
  <si>
    <t>Fitness und Entspannung</t>
  </si>
  <si>
    <t>Turnen und Le Parkour</t>
  </si>
  <si>
    <t>SELECT concat(kurse.Kuerzel,': ',</t>
  </si>
  <si>
    <t>case when ISNULL(valenzen.ThemaText1)=1 then '' else valenzen.thematext1 END,</t>
  </si>
  <si>
    <t>case when ISNULL(valenzen.ThemaText2)=1 then '' else valenzen.thematext2 END,</t>
  </si>
  <si>
    <t>case when ISNULL(valenzen.ThemaText3)=1 then '' else valenzen.thematext3 END,</t>
  </si>
  <si>
    <t>case when ISNULL(valenzen.ThemaText4)=1 then '' else valenzen.thematext4 END,</t>
  </si>
  <si>
    <t>FROM kurse, valenzen</t>
  </si>
  <si>
    <t xml:space="preserve">WHERE kurse.fach = 'SP' AND kurse.id = valenzen.KursID </t>
  </si>
  <si>
    <t>ORDER BY kurse.kuerzel</t>
  </si>
  <si>
    <t>' (',case when isnull(kurse.lehrer)=1 then '' ELSE kurse.lehrer end,')')</t>
  </si>
  <si>
    <t>sp11: Fitness und Entspannung ()</t>
  </si>
  <si>
    <t>sp12: Endzonenspiele ()</t>
  </si>
  <si>
    <t>sp13: Hockey ()</t>
  </si>
  <si>
    <t>sp14: Basketball ()</t>
  </si>
  <si>
    <t>sp15: Volleyball ()</t>
  </si>
  <si>
    <t>sp21: Skifahren ()</t>
  </si>
  <si>
    <t>sp22: Snowboard ()</t>
  </si>
  <si>
    <t>sp23: Rudern ()</t>
  </si>
  <si>
    <t>sp24: Badminton ()</t>
  </si>
  <si>
    <t>sp25: Hockey ()</t>
  </si>
  <si>
    <t>sp31: Rudern ()</t>
  </si>
  <si>
    <t>sp32: Orientieren ()</t>
  </si>
  <si>
    <t>sp33: Skaten ()</t>
  </si>
  <si>
    <t>sp34: Fußball ()</t>
  </si>
  <si>
    <t>sp35: Tennis ()</t>
  </si>
  <si>
    <t>sp41: Fitness und Entspannung ()</t>
  </si>
  <si>
    <t>sp42: Leichtathletik ()</t>
  </si>
  <si>
    <t>sp43: Turnen und Le Parkour ()</t>
  </si>
  <si>
    <t>sp44: Badminton ()</t>
  </si>
  <si>
    <t>sp45: Volleyball ()</t>
  </si>
  <si>
    <t xml:space="preserve">WHERE kurse.fach = 'SF' AND kurse.id = valenzen.KursID </t>
  </si>
  <si>
    <t>Für Wechselwünsche Seminarfach</t>
  </si>
  <si>
    <t>Für Wechselwünsche Sportkurse</t>
  </si>
  <si>
    <t>Fächer je Semester und Höchststundenanzahl</t>
  </si>
  <si>
    <t>3. Fremdsprache:</t>
  </si>
  <si>
    <t>keine</t>
  </si>
  <si>
    <t>Dritte Fremdsprache:</t>
  </si>
  <si>
    <t>Mögliche Fächer 3. Fremdsprache</t>
  </si>
  <si>
    <t>Wahl der durchgängigen Fächer ohne Abiturprüfung</t>
  </si>
  <si>
    <t>*) zus. Kosten</t>
  </si>
  <si>
    <t>SF in Dez</t>
  </si>
  <si>
    <t>SF in Hex</t>
  </si>
  <si>
    <t>1. Wahl:</t>
  </si>
  <si>
    <t>2. Wahl:</t>
  </si>
  <si>
    <t>3. Wahl:</t>
  </si>
  <si>
    <t>4. Wahl:</t>
  </si>
  <si>
    <t>Sportarten Bewegungsfeldgruppe A</t>
  </si>
  <si>
    <t>Sportarten Bewegungsfeldgruppe B</t>
  </si>
  <si>
    <t>Abgewählt</t>
  </si>
  <si>
    <t>&lt;= Keine 2. FS</t>
  </si>
  <si>
    <t>nur in Jahrgang 12</t>
  </si>
  <si>
    <t>nur in Jahrgang 13</t>
  </si>
  <si>
    <t>Wahlen haben und mit diesen einverstanden sind:</t>
  </si>
  <si>
    <t>Erst 2. Fremdsprache angeben</t>
  </si>
  <si>
    <t>Filmmusik - Filmgeschichte - Filmästhetik</t>
  </si>
  <si>
    <t>Die Region Lüneburg in Vergangenheit, Gegenwart und Zukunft</t>
  </si>
  <si>
    <t>Sportbiologie</t>
  </si>
  <si>
    <t>Empirische Sozialforschung: Interview und Fragebogen als Forschungsmethoden</t>
  </si>
  <si>
    <t>Proteste - die Macht der Machtlosen?</t>
  </si>
  <si>
    <t>Infektionskrankheiten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</si>
</sst>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A&quot;General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4" borderId="0" xfId="0" applyFill="1"/>
    <xf numFmtId="0" fontId="0" fillId="5" borderId="0" xfId="0" applyFill="1"/>
    <xf numFmtId="0" fontId="0" fillId="5" borderId="7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2" xfId="0" applyFill="1" applyBorder="1"/>
    <xf numFmtId="0" fontId="0" fillId="5" borderId="13" xfId="0" applyFill="1" applyBorder="1"/>
    <xf numFmtId="0" fontId="0" fillId="0" borderId="0" xfId="0" applyAlignment="1">
      <alignment horizontal="left" vertical="center"/>
    </xf>
    <xf numFmtId="0" fontId="0" fillId="0" borderId="0" xfId="0" quotePrefix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4" borderId="15" xfId="0" applyFont="1" applyFill="1" applyBorder="1"/>
    <xf numFmtId="0" fontId="0" fillId="4" borderId="6" xfId="0" applyFill="1" applyBorder="1"/>
    <xf numFmtId="0" fontId="0" fillId="4" borderId="16" xfId="0" applyFill="1" applyBorder="1"/>
    <xf numFmtId="0" fontId="0" fillId="5" borderId="19" xfId="0" applyFill="1" applyBorder="1" applyAlignment="1">
      <alignment horizontal="center"/>
    </xf>
    <xf numFmtId="0" fontId="0" fillId="4" borderId="18" xfId="0" applyFill="1" applyBorder="1"/>
    <xf numFmtId="0" fontId="1" fillId="4" borderId="18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4" xfId="0" applyFill="1" applyBorder="1"/>
    <xf numFmtId="0" fontId="0" fillId="4" borderId="17" xfId="0" applyFill="1" applyBorder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5" borderId="20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10" xfId="0" applyBorder="1"/>
    <xf numFmtId="0" fontId="0" fillId="0" borderId="12" xfId="0" applyBorder="1"/>
    <xf numFmtId="0" fontId="0" fillId="5" borderId="7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3" fillId="0" borderId="0" xfId="0" applyFont="1"/>
    <xf numFmtId="0" fontId="0" fillId="5" borderId="0" xfId="0" applyFill="1" applyAlignment="1">
      <alignment horizontal="left"/>
    </xf>
    <xf numFmtId="0" fontId="0" fillId="5" borderId="9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20" xfId="0" applyFill="1" applyBorder="1"/>
    <xf numFmtId="0" fontId="0" fillId="5" borderId="22" xfId="0" applyFill="1" applyBorder="1"/>
    <xf numFmtId="0" fontId="0" fillId="5" borderId="21" xfId="0" applyFill="1" applyBorder="1"/>
    <xf numFmtId="0" fontId="0" fillId="0" borderId="23" xfId="0" applyBorder="1" applyAlignment="1">
      <alignment horizontal="left"/>
    </xf>
    <xf numFmtId="0" fontId="0" fillId="3" borderId="0" xfId="0" applyFill="1" applyAlignment="1" applyProtection="1">
      <alignment horizontal="center"/>
      <protection locked="0"/>
    </xf>
    <xf numFmtId="0" fontId="13" fillId="4" borderId="24" xfId="0" applyFont="1" applyFill="1" applyBorder="1" applyProtection="1">
      <protection locked="0"/>
    </xf>
    <xf numFmtId="0" fontId="0" fillId="5" borderId="5" xfId="0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0" fillId="0" borderId="0" xfId="0" applyAlignment="1">
      <alignment wrapText="1"/>
    </xf>
    <xf numFmtId="0" fontId="0" fillId="5" borderId="1" xfId="0" applyFill="1" applyBorder="1" applyAlignment="1">
      <alignment horizontal="left"/>
    </xf>
    <xf numFmtId="0" fontId="14" fillId="4" borderId="0" xfId="0" applyFont="1" applyFill="1" applyAlignment="1">
      <alignment horizontal="left"/>
    </xf>
    <xf numFmtId="0" fontId="5" fillId="4" borderId="0" xfId="0" applyFont="1" applyFill="1"/>
    <xf numFmtId="0" fontId="4" fillId="4" borderId="0" xfId="0" applyFont="1" applyFill="1"/>
    <xf numFmtId="0" fontId="2" fillId="4" borderId="0" xfId="0" applyFont="1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49" fontId="2" fillId="4" borderId="0" xfId="0" applyNumberFormat="1" applyFont="1" applyFill="1"/>
    <xf numFmtId="0" fontId="2" fillId="4" borderId="5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0" fontId="7" fillId="4" borderId="0" xfId="0" applyFont="1" applyFill="1"/>
    <xf numFmtId="0" fontId="0" fillId="4" borderId="0" xfId="0" quotePrefix="1" applyFill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4" borderId="0" xfId="0" quotePrefix="1" applyFont="1" applyFill="1"/>
    <xf numFmtId="0" fontId="6" fillId="4" borderId="0" xfId="0" applyFont="1" applyFill="1"/>
    <xf numFmtId="0" fontId="12" fillId="4" borderId="0" xfId="0" applyFont="1" applyFill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0" fillId="4" borderId="1" xfId="0" applyFill="1" applyBorder="1"/>
    <xf numFmtId="0" fontId="2" fillId="4" borderId="2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2" fillId="2" borderId="0" xfId="0" applyFont="1" applyFill="1"/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2" fillId="4" borderId="0" xfId="0" applyFont="1" applyFill="1"/>
    <xf numFmtId="0" fontId="12" fillId="4" borderId="0" xfId="0" applyFont="1" applyFill="1" applyAlignment="1">
      <alignment horizontal="center"/>
    </xf>
    <xf numFmtId="22" fontId="2" fillId="4" borderId="0" xfId="0" applyNumberFormat="1" applyFont="1" applyFill="1"/>
    <xf numFmtId="0" fontId="0" fillId="6" borderId="0" xfId="0" applyFill="1"/>
    <xf numFmtId="0" fontId="5" fillId="6" borderId="0" xfId="0" applyFont="1" applyFill="1" applyAlignment="1">
      <alignment horizontal="center"/>
    </xf>
    <xf numFmtId="0" fontId="17" fillId="4" borderId="0" xfId="0" applyFont="1" applyFill="1"/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5" borderId="27" xfId="0" applyFill="1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0" fillId="5" borderId="26" xfId="0" applyFill="1" applyBorder="1"/>
    <xf numFmtId="0" fontId="0" fillId="3" borderId="1" xfId="0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left"/>
    </xf>
    <xf numFmtId="0" fontId="18" fillId="4" borderId="0" xfId="0" applyFont="1" applyFill="1" applyAlignment="1">
      <alignment horizontal="left"/>
    </xf>
    <xf numFmtId="164" fontId="0" fillId="3" borderId="1" xfId="0" applyNumberFormat="1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/>
    </xf>
    <xf numFmtId="49" fontId="0" fillId="3" borderId="1" xfId="0" applyNumberFormat="1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 vertical="top"/>
    </xf>
    <xf numFmtId="0" fontId="0" fillId="5" borderId="23" xfId="0" applyFill="1" applyBorder="1"/>
    <xf numFmtId="0" fontId="0" fillId="5" borderId="28" xfId="0" applyFill="1" applyBorder="1"/>
    <xf numFmtId="0" fontId="0" fillId="0" borderId="28" xfId="0" applyBorder="1" applyAlignment="1">
      <alignment horizontal="center"/>
    </xf>
    <xf numFmtId="0" fontId="19" fillId="4" borderId="0" xfId="0" applyFont="1" applyFill="1"/>
    <xf numFmtId="49" fontId="0" fillId="3" borderId="1" xfId="0" applyNumberFormat="1" applyFill="1" applyBorder="1" applyAlignment="1" applyProtection="1">
      <alignment horizontal="left" wrapText="1"/>
      <protection locked="0"/>
    </xf>
    <xf numFmtId="0" fontId="20" fillId="3" borderId="1" xfId="0" applyFont="1" applyFill="1" applyBorder="1" applyAlignment="1" applyProtection="1">
      <alignment horizontal="left"/>
      <protection locked="0"/>
    </xf>
    <xf numFmtId="0" fontId="13" fillId="4" borderId="0" xfId="0" applyFont="1" applyFill="1"/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25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7"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66FF9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99"/>
      <color rgb="FF00FF00"/>
      <color rgb="FFFFFFCC"/>
      <color rgb="FF66FF33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BQ249"/>
  <sheetViews>
    <sheetView topLeftCell="F23" zoomScaleNormal="100" workbookViewId="0">
      <selection activeCell="J46" sqref="J46"/>
    </sheetView>
  </sheetViews>
  <sheetFormatPr baseColWidth="10" defaultColWidth="11.42578125" defaultRowHeight="15" x14ac:dyDescent="0.25"/>
  <cols>
    <col min="1" max="1" width="18.28515625" customWidth="1"/>
    <col min="2" max="5" width="6.85546875" customWidth="1"/>
    <col min="6" max="6" width="65.28515625" customWidth="1"/>
    <col min="7" max="7" width="18.28515625" customWidth="1"/>
    <col min="8" max="8" width="16.140625" customWidth="1"/>
    <col min="9" max="10" width="11.42578125" customWidth="1"/>
    <col min="11" max="11" width="19.85546875" customWidth="1"/>
    <col min="12" max="12" width="42.7109375" customWidth="1"/>
    <col min="13" max="13" width="43.85546875" customWidth="1"/>
    <col min="14" max="14" width="24.42578125" customWidth="1"/>
    <col min="15" max="15" width="20.85546875" customWidth="1"/>
    <col min="16" max="16" width="11.5703125" customWidth="1"/>
    <col min="17" max="17" width="11.42578125" hidden="1" customWidth="1"/>
    <col min="18" max="21" width="23.28515625" style="8" hidden="1" customWidth="1"/>
    <col min="22" max="22" width="5.85546875" style="11" hidden="1" customWidth="1"/>
    <col min="23" max="25" width="5.85546875" hidden="1" customWidth="1"/>
    <col min="26" max="26" width="5.85546875" style="12" hidden="1" customWidth="1"/>
    <col min="27" max="27" width="12.5703125" style="12" hidden="1" customWidth="1"/>
    <col min="28" max="35" width="5.85546875" style="12" hidden="1" customWidth="1"/>
    <col min="36" max="36" width="11.42578125" hidden="1" customWidth="1"/>
    <col min="37" max="42" width="11.42578125" customWidth="1"/>
    <col min="43" max="69" width="11.42578125" hidden="1" customWidth="1"/>
  </cols>
  <sheetData>
    <row r="1" spans="1:68" ht="18.75" x14ac:dyDescent="0.3">
      <c r="A1" s="8" t="s">
        <v>19</v>
      </c>
      <c r="N1" s="48"/>
      <c r="P1" s="9"/>
      <c r="R1" s="10" t="s">
        <v>104</v>
      </c>
      <c r="AB1" s="12">
        <v>4</v>
      </c>
      <c r="AC1" s="12" t="s">
        <v>113</v>
      </c>
      <c r="AD1" s="12" t="str">
        <f>HLOOKUP(F!AB1,F!$AA$3:$AD$4,2,0)</f>
        <v>U</v>
      </c>
      <c r="AE1" s="12">
        <f>VLOOKUP(F!AC1,F!$Z$3:$AD$210,F!$AB$1+1,0)</f>
        <v>3</v>
      </c>
      <c r="AF1" s="12">
        <f>VLOOKUP(F!AC1,F!$AE$3:$AI$210,F!$AB$1+1,0)</f>
        <v>6</v>
      </c>
      <c r="AL1" s="10" t="s">
        <v>104</v>
      </c>
      <c r="AM1" s="8"/>
      <c r="AN1" s="8"/>
      <c r="AO1" s="8"/>
    </row>
    <row r="2" spans="1:68" ht="18.75" x14ac:dyDescent="0.3">
      <c r="A2" s="13" t="s">
        <v>2</v>
      </c>
      <c r="B2" s="14" t="s">
        <v>24</v>
      </c>
      <c r="C2" s="14" t="s">
        <v>45</v>
      </c>
      <c r="D2" s="14" t="s">
        <v>72</v>
      </c>
      <c r="E2" s="14" t="s">
        <v>45</v>
      </c>
      <c r="F2" s="14" t="s">
        <v>24</v>
      </c>
      <c r="G2" s="13" t="s">
        <v>2</v>
      </c>
      <c r="H2" s="61">
        <v>1</v>
      </c>
      <c r="I2" s="48" t="s">
        <v>150</v>
      </c>
      <c r="M2" s="48" t="s">
        <v>222</v>
      </c>
      <c r="N2" s="48" t="s">
        <v>221</v>
      </c>
      <c r="O2" s="48" t="s">
        <v>223</v>
      </c>
      <c r="R2" s="15" t="s">
        <v>99</v>
      </c>
      <c r="S2" s="15" t="s">
        <v>100</v>
      </c>
      <c r="T2" s="15" t="s">
        <v>101</v>
      </c>
      <c r="U2" s="15" t="s">
        <v>102</v>
      </c>
      <c r="AL2" s="15" t="s">
        <v>99</v>
      </c>
      <c r="AM2" s="15" t="s">
        <v>100</v>
      </c>
      <c r="AN2" s="15" t="s">
        <v>101</v>
      </c>
      <c r="AO2" s="15" t="s">
        <v>102</v>
      </c>
      <c r="AQ2" t="s">
        <v>237</v>
      </c>
      <c r="AS2" t="s">
        <v>232</v>
      </c>
      <c r="AX2" t="s">
        <v>233</v>
      </c>
      <c r="BC2" t="s">
        <v>234</v>
      </c>
      <c r="BH2" t="s">
        <v>235</v>
      </c>
      <c r="BM2" t="s">
        <v>236</v>
      </c>
    </row>
    <row r="3" spans="1:68" x14ac:dyDescent="0.25">
      <c r="A3" s="13" t="s">
        <v>3</v>
      </c>
      <c r="B3" s="14" t="s">
        <v>25</v>
      </c>
      <c r="C3" s="14" t="s">
        <v>46</v>
      </c>
      <c r="D3" s="14" t="s">
        <v>67</v>
      </c>
      <c r="E3" s="14" t="s">
        <v>46</v>
      </c>
      <c r="F3" s="14" t="s">
        <v>25</v>
      </c>
      <c r="G3" s="13" t="s">
        <v>3</v>
      </c>
      <c r="H3" s="61">
        <v>2</v>
      </c>
      <c r="I3" s="49" t="s">
        <v>161</v>
      </c>
      <c r="J3" s="11"/>
      <c r="K3" s="11"/>
      <c r="L3" s="11"/>
      <c r="M3" s="13" t="str">
        <f>IFERROR(VLOOKUP(BM184,$E$2:$G$22,3,0),0)</f>
        <v>Englisch</v>
      </c>
      <c r="N3" s="13">
        <f t="shared" ref="N3:N8" si="0">IFERROR(VLOOKUP(BM193,$E$2:$G$22,3,0),0)</f>
        <v>0</v>
      </c>
      <c r="O3" s="13" t="s">
        <v>11</v>
      </c>
      <c r="Q3" s="12"/>
      <c r="R3" s="63" t="str">
        <f>IFERROR(VLOOKUP(BM3,$E$2:$G$22,3,0),0)</f>
        <v>Englisch</v>
      </c>
      <c r="S3" s="63" t="str">
        <f t="shared" ref="S3:U3" si="1">IFERROR(VLOOKUP(BN3,$E$2:$G$22,3,0),0)</f>
        <v>Kunst</v>
      </c>
      <c r="T3" s="63" t="str">
        <f t="shared" si="1"/>
        <v>Geschichte</v>
      </c>
      <c r="U3" s="63" t="str">
        <f t="shared" si="1"/>
        <v>Mathematik</v>
      </c>
      <c r="W3" s="11"/>
      <c r="X3" s="11"/>
      <c r="Y3" s="11"/>
      <c r="Z3" s="17"/>
      <c r="AA3" s="17">
        <v>1</v>
      </c>
      <c r="AB3" s="17">
        <v>2</v>
      </c>
      <c r="AC3" s="17">
        <v>3</v>
      </c>
      <c r="AD3" s="17">
        <v>4</v>
      </c>
      <c r="AE3" s="17"/>
      <c r="AF3" s="17">
        <v>1</v>
      </c>
      <c r="AG3" s="17">
        <v>2</v>
      </c>
      <c r="AH3" s="17">
        <v>3</v>
      </c>
      <c r="AI3" s="17">
        <v>4</v>
      </c>
      <c r="AL3" s="14" t="s">
        <v>46</v>
      </c>
      <c r="AM3" s="14" t="s">
        <v>53</v>
      </c>
      <c r="AN3" s="14" t="s">
        <v>50</v>
      </c>
      <c r="AO3" s="14" t="s">
        <v>55</v>
      </c>
      <c r="AQ3" s="60">
        <v>1</v>
      </c>
      <c r="AS3" s="62" t="str">
        <f>IF(AL3="","",IF(OR(AL3="Fr",AL3="La",AL3="Sn"),IF(AL3&lt;&gt;IFERROR(VLOOKUP(Wahlbogen!$B$6,F!$A$2:$C$22,3,0),"Sp"),"",AL3),AL3))</f>
        <v>En</v>
      </c>
      <c r="AT3" s="62" t="str">
        <f>IF(AM3="","",IF(OR(AM3="Fr",AM3="La",AM3="Sn"),IF(AM3&lt;&gt;IFERROR(VLOOKUP(Wahlbogen!$B$6,F!$A$2:$C$22,3,0),"Sp"),"",AM3),AM3))</f>
        <v>Ku</v>
      </c>
      <c r="AU3" s="62" t="str">
        <f>IF(AN3="","",IF(OR(AN3="Fr",AN3="La",AN3="Sn"),IF(AN3&lt;&gt;IFERROR(VLOOKUP(Wahlbogen!$B$6,F!$A$2:$C$22,3,0),"Sp"),"",AN3),AN3))</f>
        <v>Ge</v>
      </c>
      <c r="AV3" s="62" t="str">
        <f>IF(AO3="","",IF(OR(AO3="Fr",AO3="La",AO3="Sn"),IF(AO3&lt;&gt;IFERROR(VLOOKUP(Wahlbogen!$B$6,F!$A$2:$C$22,3,0),"Sp"),"",AO3),AO3))</f>
        <v>Ma</v>
      </c>
      <c r="AX3" s="62">
        <f>IFERROR(VLOOKUP(AS3,$C$2:$H$22,6,0),"")</f>
        <v>2</v>
      </c>
      <c r="AY3" s="62">
        <f t="shared" ref="AY3:BA18" si="2">IFERROR(VLOOKUP(AT3,$C$2:$H$22,6,0),"")</f>
        <v>7</v>
      </c>
      <c r="AZ3" s="62">
        <f t="shared" si="2"/>
        <v>10</v>
      </c>
      <c r="BA3" s="62">
        <f t="shared" si="2"/>
        <v>15</v>
      </c>
      <c r="BC3" s="62">
        <f>IFERROR(RANK(AX3,AX$3:AX$20,1),"")</f>
        <v>1</v>
      </c>
      <c r="BD3" s="62">
        <f t="shared" ref="BD3:BF18" si="3">IFERROR(RANK(AY3,AY$3:AY$20,1),"")</f>
        <v>1</v>
      </c>
      <c r="BE3" s="62">
        <f t="shared" si="3"/>
        <v>1</v>
      </c>
      <c r="BF3" s="62">
        <f t="shared" si="3"/>
        <v>1</v>
      </c>
      <c r="BH3" s="62" t="str">
        <f>AS3</f>
        <v>En</v>
      </c>
      <c r="BI3" s="62" t="str">
        <f t="shared" ref="BI3:BK18" si="4">AT3</f>
        <v>Ku</v>
      </c>
      <c r="BJ3" s="62" t="str">
        <f t="shared" si="4"/>
        <v>Ge</v>
      </c>
      <c r="BK3" s="62" t="str">
        <f t="shared" si="4"/>
        <v>Ma</v>
      </c>
      <c r="BM3" s="62" t="str">
        <f>IFERROR(VLOOKUP($AQ3,BC$3:BH$20,6,0),"")</f>
        <v>En</v>
      </c>
      <c r="BN3" s="62" t="str">
        <f t="shared" ref="BN3:BP18" si="5">IFERROR(VLOOKUP($AQ3,BD$3:BI$20,6,0),"")</f>
        <v>Ku</v>
      </c>
      <c r="BO3" s="62" t="str">
        <f t="shared" si="5"/>
        <v>Ge</v>
      </c>
      <c r="BP3" s="62" t="str">
        <f t="shared" si="5"/>
        <v>Ma</v>
      </c>
    </row>
    <row r="4" spans="1:68" x14ac:dyDescent="0.25">
      <c r="A4" s="14" t="s">
        <v>4</v>
      </c>
      <c r="B4" s="14" t="s">
        <v>26</v>
      </c>
      <c r="C4" s="14" t="s">
        <v>49</v>
      </c>
      <c r="D4" s="14" t="s">
        <v>74</v>
      </c>
      <c r="E4" s="14" t="s">
        <v>49</v>
      </c>
      <c r="F4" s="14" t="s">
        <v>26</v>
      </c>
      <c r="G4" s="13" t="s">
        <v>4</v>
      </c>
      <c r="H4" s="61">
        <v>3</v>
      </c>
      <c r="I4" s="49" t="s">
        <v>209</v>
      </c>
      <c r="J4" s="11"/>
      <c r="K4" s="11"/>
      <c r="L4" s="11"/>
      <c r="M4" s="13">
        <f t="shared" ref="M4:M9" si="6">IFERROR(VLOOKUP(BM185,$E$2:$G$22,3,0),0)</f>
        <v>0</v>
      </c>
      <c r="N4" s="13">
        <f t="shared" si="0"/>
        <v>0</v>
      </c>
      <c r="O4" s="13" t="s">
        <v>12</v>
      </c>
      <c r="P4" s="11"/>
      <c r="Q4" s="12"/>
      <c r="R4" s="63">
        <f t="shared" ref="R4:R20" si="7">IFERROR(VLOOKUP(BM4,$E$2:$G$22,3,0),0)</f>
        <v>0</v>
      </c>
      <c r="S4" s="63" t="str">
        <f t="shared" ref="S4:S20" si="8">IFERROR(VLOOKUP(BN4,$E$2:$G$22,3,0),0)</f>
        <v>Musik</v>
      </c>
      <c r="T4" s="63">
        <f t="shared" ref="T4:T20" si="9">IFERROR(VLOOKUP(BO4,$E$2:$G$22,3,0),0)</f>
        <v>0</v>
      </c>
      <c r="U4" s="63" t="str">
        <f t="shared" ref="U4:U20" si="10">IFERROR(VLOOKUP(BP4,$E$2:$G$22,3,0),0)</f>
        <v>Biologie</v>
      </c>
      <c r="W4" s="11"/>
      <c r="X4" s="11"/>
      <c r="Y4" s="11"/>
      <c r="Z4" s="17"/>
      <c r="AA4" s="17" t="s">
        <v>119</v>
      </c>
      <c r="AB4" s="17" t="s">
        <v>120</v>
      </c>
      <c r="AC4" s="17" t="s">
        <v>121</v>
      </c>
      <c r="AD4" s="17" t="s">
        <v>122</v>
      </c>
      <c r="AE4" s="17"/>
      <c r="AF4" s="17" t="s">
        <v>119</v>
      </c>
      <c r="AG4" s="17" t="s">
        <v>120</v>
      </c>
      <c r="AH4" s="17" t="s">
        <v>121</v>
      </c>
      <c r="AI4" s="17" t="s">
        <v>122</v>
      </c>
      <c r="AL4" s="14" t="s">
        <v>49</v>
      </c>
      <c r="AM4" s="14" t="s">
        <v>56</v>
      </c>
      <c r="AN4" s="14" t="s">
        <v>19</v>
      </c>
      <c r="AO4" s="14"/>
      <c r="AQ4" s="60">
        <v>2</v>
      </c>
      <c r="AS4" s="62" t="str">
        <f>IF(AL4="","",IF(OR(AL4="Fr",AL4="La",AL4="Sn"),IF(AL4&lt;&gt;IFERROR(VLOOKUP(Wahlbogen!$B$6,F!$A$2:$C$22,3,0),"Sp"),"",AL4),AL4))</f>
        <v/>
      </c>
      <c r="AT4" s="62" t="str">
        <f>IF(AM4="","",IF(OR(AM4="Fr",AM4="La",AM4="Sn"),IF(AM4&lt;&gt;IFERROR(VLOOKUP(Wahlbogen!$B$6,F!$A$2:$C$22,3,0),"Sp"),"",AM4),AM4))</f>
        <v>Mu</v>
      </c>
      <c r="AU4" s="62" t="str">
        <f>IF(AN4="","",IF(OR(AN4="Fr",AN4="La",AN4="Sn"),IF(AN4&lt;&gt;IFERROR(VLOOKUP(Wahlbogen!$B$6,F!$A$2:$C$22,3,0),"Sp"),"",AN4),AN4))</f>
        <v/>
      </c>
      <c r="AV4" s="62" t="str">
        <f>IF(AO4="","",IF(OR(AO4="Fr",AO4="La",AO4="Sn"),IF(AO4&lt;&gt;IFERROR(VLOOKUP(Wahlbogen!$B$6,F!$A$2:$C$22,3,0),"Sp"),"",AO4),AO4))</f>
        <v/>
      </c>
      <c r="AX4" s="62" t="str">
        <f t="shared" ref="AX4:AX20" si="11">IFERROR(VLOOKUP(AS4,$C$2:$H$22,6,0),"")</f>
        <v/>
      </c>
      <c r="AY4" s="62">
        <f t="shared" si="2"/>
        <v>8</v>
      </c>
      <c r="AZ4" s="62" t="str">
        <f t="shared" si="2"/>
        <v/>
      </c>
      <c r="BA4" s="62" t="str">
        <f t="shared" si="2"/>
        <v/>
      </c>
      <c r="BC4" s="62" t="str">
        <f t="shared" ref="BC4:BC20" si="12">IFERROR(RANK(AX4,AX$3:AX$20,1),"")</f>
        <v/>
      </c>
      <c r="BD4" s="62">
        <f t="shared" si="3"/>
        <v>2</v>
      </c>
      <c r="BE4" s="62" t="str">
        <f t="shared" si="3"/>
        <v/>
      </c>
      <c r="BF4" s="62" t="str">
        <f t="shared" si="3"/>
        <v/>
      </c>
      <c r="BH4" s="62" t="str">
        <f t="shared" ref="BH4:BH20" si="13">AS4</f>
        <v/>
      </c>
      <c r="BI4" s="62" t="str">
        <f t="shared" si="4"/>
        <v>Mu</v>
      </c>
      <c r="BJ4" s="62" t="str">
        <f t="shared" si="4"/>
        <v/>
      </c>
      <c r="BK4" s="62" t="str">
        <f t="shared" si="4"/>
        <v/>
      </c>
      <c r="BM4" s="62" t="str">
        <f t="shared" ref="BM4:BM20" si="14">IFERROR(VLOOKUP($AQ4,BC$3:BH$20,6,0),"")</f>
        <v/>
      </c>
      <c r="BN4" s="62" t="str">
        <f t="shared" si="5"/>
        <v>Mu</v>
      </c>
      <c r="BO4" s="62" t="str">
        <f t="shared" si="5"/>
        <v/>
      </c>
      <c r="BP4" s="62" t="str">
        <f t="shared" si="5"/>
        <v>Bi</v>
      </c>
    </row>
    <row r="5" spans="1:68" x14ac:dyDescent="0.25">
      <c r="A5" s="13" t="s">
        <v>5</v>
      </c>
      <c r="B5" s="14" t="s">
        <v>30</v>
      </c>
      <c r="C5" s="14" t="s">
        <v>54</v>
      </c>
      <c r="D5" s="14" t="s">
        <v>79</v>
      </c>
      <c r="E5" s="14" t="s">
        <v>54</v>
      </c>
      <c r="F5" s="14" t="s">
        <v>30</v>
      </c>
      <c r="G5" s="13" t="s">
        <v>5</v>
      </c>
      <c r="H5" s="61">
        <v>4</v>
      </c>
      <c r="J5" s="11"/>
      <c r="K5" s="11"/>
      <c r="L5" s="11"/>
      <c r="M5" s="13">
        <f t="shared" si="6"/>
        <v>0</v>
      </c>
      <c r="N5" s="13">
        <f t="shared" si="0"/>
        <v>0</v>
      </c>
      <c r="O5" s="13" t="s">
        <v>13</v>
      </c>
      <c r="P5" s="11"/>
      <c r="Q5" s="12"/>
      <c r="R5" s="63">
        <f t="shared" si="7"/>
        <v>0</v>
      </c>
      <c r="S5" s="63">
        <f t="shared" si="8"/>
        <v>0</v>
      </c>
      <c r="T5" s="63">
        <f t="shared" si="9"/>
        <v>0</v>
      </c>
      <c r="U5" s="63" t="str">
        <f t="shared" si="10"/>
        <v>Chemie</v>
      </c>
      <c r="W5" s="11"/>
      <c r="X5" s="11"/>
      <c r="Y5" s="11"/>
      <c r="Z5" s="17" t="s">
        <v>113</v>
      </c>
      <c r="AA5" s="17">
        <f>ROW()-2</f>
        <v>3</v>
      </c>
      <c r="AB5" s="17">
        <f>AA5</f>
        <v>3</v>
      </c>
      <c r="AC5" s="17">
        <f>AB5</f>
        <v>3</v>
      </c>
      <c r="AD5" s="17">
        <f>AC5</f>
        <v>3</v>
      </c>
      <c r="AE5" s="17" t="s">
        <v>113</v>
      </c>
      <c r="AF5" s="17">
        <f>MATCH("",R1:R20,-1)</f>
        <v>3</v>
      </c>
      <c r="AG5" s="17">
        <f>MATCH("",S1:S20,-1)</f>
        <v>4</v>
      </c>
      <c r="AH5" s="17">
        <f>MATCH("",T1:T20,-1)</f>
        <v>3</v>
      </c>
      <c r="AI5" s="17">
        <f>MATCH("",U1:U20,-1)</f>
        <v>6</v>
      </c>
      <c r="AL5" s="14" t="s">
        <v>54</v>
      </c>
      <c r="AM5" s="14" t="s">
        <v>19</v>
      </c>
      <c r="AN5" s="14" t="s">
        <v>19</v>
      </c>
      <c r="AO5" s="14" t="s">
        <v>42</v>
      </c>
      <c r="AQ5" s="60">
        <v>3</v>
      </c>
      <c r="AS5" s="62" t="str">
        <f>IF(AL5="","",IF(OR(AL5="Fr",AL5="La",AL5="Sn"),IF(AL5&lt;&gt;IFERROR(VLOOKUP(Wahlbogen!$B$6,F!$A$2:$C$22,3,0),"Sp"),"",AL5),AL5))</f>
        <v/>
      </c>
      <c r="AT5" s="62" t="str">
        <f>IF(AM5="","",IF(OR(AM5="Fr",AM5="La",AM5="Sn"),IF(AM5&lt;&gt;IFERROR(VLOOKUP(Wahlbogen!$B$6,F!$A$2:$C$22,3,0),"Sp"),"",AM5),AM5))</f>
        <v/>
      </c>
      <c r="AU5" s="62" t="str">
        <f>IF(AN5="","",IF(OR(AN5="Fr",AN5="La",AN5="Sn"),IF(AN5&lt;&gt;IFERROR(VLOOKUP(Wahlbogen!$B$6,F!$A$2:$C$22,3,0),"Sp"),"",AN5),AN5))</f>
        <v/>
      </c>
      <c r="AV5" s="62" t="str">
        <f>IF(AO5="","",IF(OR(AO5="Fr",AO5="La",AO5="Sn"),IF(AO5&lt;&gt;IFERROR(VLOOKUP(Wahlbogen!$B$6,F!$A$2:$C$22,3,0),"Sp"),"",AO5),AO5))</f>
        <v>Bi</v>
      </c>
      <c r="AX5" s="62" t="str">
        <f t="shared" si="11"/>
        <v/>
      </c>
      <c r="AY5" s="62" t="str">
        <f t="shared" si="2"/>
        <v/>
      </c>
      <c r="AZ5" s="62" t="str">
        <f t="shared" si="2"/>
        <v/>
      </c>
      <c r="BA5" s="62">
        <f t="shared" si="2"/>
        <v>16</v>
      </c>
      <c r="BC5" s="62" t="str">
        <f t="shared" si="12"/>
        <v/>
      </c>
      <c r="BD5" s="62" t="str">
        <f t="shared" si="3"/>
        <v/>
      </c>
      <c r="BE5" s="62" t="str">
        <f t="shared" si="3"/>
        <v/>
      </c>
      <c r="BF5" s="62">
        <f t="shared" si="3"/>
        <v>2</v>
      </c>
      <c r="BH5" s="62" t="str">
        <f t="shared" si="13"/>
        <v/>
      </c>
      <c r="BI5" s="62" t="str">
        <f t="shared" si="4"/>
        <v/>
      </c>
      <c r="BJ5" s="62" t="str">
        <f t="shared" si="4"/>
        <v/>
      </c>
      <c r="BK5" s="62" t="str">
        <f t="shared" si="4"/>
        <v>Bi</v>
      </c>
      <c r="BM5" s="62" t="str">
        <f t="shared" si="14"/>
        <v/>
      </c>
      <c r="BN5" s="62" t="str">
        <f t="shared" si="5"/>
        <v/>
      </c>
      <c r="BO5" s="62" t="str">
        <f t="shared" si="5"/>
        <v/>
      </c>
      <c r="BP5" s="62" t="str">
        <f t="shared" si="5"/>
        <v>Ch</v>
      </c>
    </row>
    <row r="6" spans="1:68" x14ac:dyDescent="0.25">
      <c r="A6" s="13" t="s">
        <v>21</v>
      </c>
      <c r="B6" s="14" t="s">
        <v>40</v>
      </c>
      <c r="C6" s="14" t="s">
        <v>59</v>
      </c>
      <c r="D6" s="14" t="s">
        <v>83</v>
      </c>
      <c r="E6" s="14" t="s">
        <v>59</v>
      </c>
      <c r="F6" s="14" t="s">
        <v>40</v>
      </c>
      <c r="G6" s="13" t="s">
        <v>21</v>
      </c>
      <c r="H6" s="61">
        <v>5</v>
      </c>
      <c r="I6" s="11"/>
      <c r="J6" s="11"/>
      <c r="K6" s="11"/>
      <c r="L6" s="11"/>
      <c r="M6" s="13">
        <f t="shared" si="6"/>
        <v>0</v>
      </c>
      <c r="N6" s="13">
        <f t="shared" si="0"/>
        <v>0</v>
      </c>
      <c r="O6" s="13"/>
      <c r="P6" s="11"/>
      <c r="Q6" s="12"/>
      <c r="R6" s="63">
        <f t="shared" si="7"/>
        <v>0</v>
      </c>
      <c r="S6" s="63">
        <f t="shared" si="8"/>
        <v>0</v>
      </c>
      <c r="T6" s="63">
        <f t="shared" si="9"/>
        <v>0</v>
      </c>
      <c r="U6" s="63" t="str">
        <f t="shared" si="10"/>
        <v>Physik</v>
      </c>
      <c r="W6" s="11"/>
      <c r="X6" s="11"/>
      <c r="Y6" s="11"/>
      <c r="AL6" s="14" t="s">
        <v>59</v>
      </c>
      <c r="AM6" s="14" t="s">
        <v>19</v>
      </c>
      <c r="AN6" s="14" t="s">
        <v>19</v>
      </c>
      <c r="AO6" s="14" t="s">
        <v>43</v>
      </c>
      <c r="AQ6" s="60">
        <v>4</v>
      </c>
      <c r="AS6" s="62" t="str">
        <f>IF(AL6="","",IF(OR(AL6="Fr",AL6="La",AL6="Sn"),IF(AL6&lt;&gt;IFERROR(VLOOKUP(Wahlbogen!$B$6,F!$A$2:$C$22,3,0),"Sp"),"",AL6),AL6))</f>
        <v/>
      </c>
      <c r="AT6" s="62" t="str">
        <f>IF(AM6="","",IF(OR(AM6="Fr",AM6="La",AM6="Sn"),IF(AM6&lt;&gt;IFERROR(VLOOKUP(Wahlbogen!$B$6,F!$A$2:$C$22,3,0),"Sp"),"",AM6),AM6))</f>
        <v/>
      </c>
      <c r="AU6" s="62" t="str">
        <f>IF(AN6="","",IF(OR(AN6="Fr",AN6="La",AN6="Sn"),IF(AN6&lt;&gt;IFERROR(VLOOKUP(Wahlbogen!$B$6,F!$A$2:$C$22,3,0),"Sp"),"",AN6),AN6))</f>
        <v/>
      </c>
      <c r="AV6" s="62" t="str">
        <f>IF(AO6="","",IF(OR(AO6="Fr",AO6="La",AO6="Sn"),IF(AO6&lt;&gt;IFERROR(VLOOKUP(Wahlbogen!$B$6,F!$A$2:$C$22,3,0),"Sp"),"",AO6),AO6))</f>
        <v>Ch</v>
      </c>
      <c r="AX6" s="62" t="str">
        <f t="shared" si="11"/>
        <v/>
      </c>
      <c r="AY6" s="62" t="str">
        <f t="shared" si="2"/>
        <v/>
      </c>
      <c r="AZ6" s="62" t="str">
        <f t="shared" si="2"/>
        <v/>
      </c>
      <c r="BA6" s="62">
        <f t="shared" si="2"/>
        <v>17</v>
      </c>
      <c r="BC6" s="62" t="str">
        <f t="shared" si="12"/>
        <v/>
      </c>
      <c r="BD6" s="62" t="str">
        <f t="shared" si="3"/>
        <v/>
      </c>
      <c r="BE6" s="62" t="str">
        <f t="shared" si="3"/>
        <v/>
      </c>
      <c r="BF6" s="62">
        <f t="shared" si="3"/>
        <v>3</v>
      </c>
      <c r="BH6" s="62" t="str">
        <f t="shared" si="13"/>
        <v/>
      </c>
      <c r="BI6" s="62" t="str">
        <f t="shared" si="4"/>
        <v/>
      </c>
      <c r="BJ6" s="62" t="str">
        <f t="shared" si="4"/>
        <v/>
      </c>
      <c r="BK6" s="62" t="str">
        <f t="shared" si="4"/>
        <v>Ch</v>
      </c>
      <c r="BM6" s="62" t="str">
        <f t="shared" si="14"/>
        <v/>
      </c>
      <c r="BN6" s="62" t="str">
        <f t="shared" si="5"/>
        <v/>
      </c>
      <c r="BO6" s="62" t="str">
        <f t="shared" si="5"/>
        <v/>
      </c>
      <c r="BP6" s="62" t="str">
        <f t="shared" si="5"/>
        <v>Ph</v>
      </c>
    </row>
    <row r="7" spans="1:68" ht="18.75" x14ac:dyDescent="0.3">
      <c r="A7" s="13" t="s">
        <v>20</v>
      </c>
      <c r="B7" s="14" t="s">
        <v>28</v>
      </c>
      <c r="C7" s="14" t="s">
        <v>51</v>
      </c>
      <c r="D7" s="14" t="s">
        <v>76</v>
      </c>
      <c r="E7" s="14" t="s">
        <v>51</v>
      </c>
      <c r="F7" s="14" t="s">
        <v>28</v>
      </c>
      <c r="G7" s="13" t="s">
        <v>20</v>
      </c>
      <c r="H7" s="61">
        <v>6</v>
      </c>
      <c r="I7" s="48" t="s">
        <v>198</v>
      </c>
      <c r="J7" s="11"/>
      <c r="K7" s="48" t="s">
        <v>277</v>
      </c>
      <c r="L7" s="11"/>
      <c r="M7" s="13">
        <f t="shared" si="6"/>
        <v>0</v>
      </c>
      <c r="N7" s="13">
        <f t="shared" si="0"/>
        <v>0</v>
      </c>
      <c r="O7" s="13"/>
      <c r="P7" s="11"/>
      <c r="Q7" s="12"/>
      <c r="R7" s="63">
        <f t="shared" si="7"/>
        <v>0</v>
      </c>
      <c r="S7" s="63">
        <f t="shared" si="8"/>
        <v>0</v>
      </c>
      <c r="T7" s="63">
        <f t="shared" si="9"/>
        <v>0</v>
      </c>
      <c r="U7" s="63">
        <f t="shared" si="10"/>
        <v>0</v>
      </c>
      <c r="W7" s="11"/>
      <c r="X7" s="11"/>
      <c r="Y7" s="11"/>
      <c r="AL7" s="14" t="s">
        <v>19</v>
      </c>
      <c r="AM7" s="14" t="s">
        <v>19</v>
      </c>
      <c r="AN7" s="14" t="s">
        <v>19</v>
      </c>
      <c r="AO7" s="14" t="s">
        <v>57</v>
      </c>
      <c r="AQ7" s="60">
        <v>5</v>
      </c>
      <c r="AS7" s="62" t="str">
        <f>IF(AL7="","",IF(OR(AL7="Fr",AL7="La",AL7="Sn"),IF(AL7&lt;&gt;IFERROR(VLOOKUP(Wahlbogen!$B$6,F!$A$2:$C$22,3,0),"Sp"),"",AL7),AL7))</f>
        <v/>
      </c>
      <c r="AT7" s="62" t="str">
        <f>IF(AM7="","",IF(OR(AM7="Fr",AM7="La",AM7="Sn"),IF(AM7&lt;&gt;IFERROR(VLOOKUP(Wahlbogen!$B$6,F!$A$2:$C$22,3,0),"Sp"),"",AM7),AM7))</f>
        <v/>
      </c>
      <c r="AU7" s="62" t="str">
        <f>IF(AN7="","",IF(OR(AN7="Fr",AN7="La",AN7="Sn"),IF(AN7&lt;&gt;IFERROR(VLOOKUP(Wahlbogen!$B$6,F!$A$2:$C$22,3,0),"Sp"),"",AN7),AN7))</f>
        <v/>
      </c>
      <c r="AV7" s="62" t="str">
        <f>IF(AO7="","",IF(OR(AO7="Fr",AO7="La",AO7="Sn"),IF(AO7&lt;&gt;IFERROR(VLOOKUP(Wahlbogen!$B$6,F!$A$2:$C$22,3,0),"Sp"),"",AO7),AO7))</f>
        <v>Ph</v>
      </c>
      <c r="AX7" s="62" t="str">
        <f t="shared" si="11"/>
        <v/>
      </c>
      <c r="AY7" s="62" t="str">
        <f t="shared" si="2"/>
        <v/>
      </c>
      <c r="AZ7" s="62" t="str">
        <f t="shared" si="2"/>
        <v/>
      </c>
      <c r="BA7" s="62">
        <f t="shared" si="2"/>
        <v>18</v>
      </c>
      <c r="BC7" s="62" t="str">
        <f t="shared" si="12"/>
        <v/>
      </c>
      <c r="BD7" s="62" t="str">
        <f t="shared" si="3"/>
        <v/>
      </c>
      <c r="BE7" s="62" t="str">
        <f t="shared" si="3"/>
        <v/>
      </c>
      <c r="BF7" s="62">
        <f t="shared" si="3"/>
        <v>4</v>
      </c>
      <c r="BH7" s="62" t="str">
        <f t="shared" si="13"/>
        <v/>
      </c>
      <c r="BI7" s="62" t="str">
        <f t="shared" si="4"/>
        <v/>
      </c>
      <c r="BJ7" s="62" t="str">
        <f t="shared" si="4"/>
        <v/>
      </c>
      <c r="BK7" s="62" t="str">
        <f t="shared" si="4"/>
        <v>Ph</v>
      </c>
      <c r="BM7" s="62" t="str">
        <f t="shared" si="14"/>
        <v/>
      </c>
      <c r="BN7" s="62" t="str">
        <f t="shared" si="5"/>
        <v/>
      </c>
      <c r="BO7" s="62" t="str">
        <f t="shared" si="5"/>
        <v/>
      </c>
      <c r="BP7" s="62" t="str">
        <f t="shared" si="5"/>
        <v/>
      </c>
    </row>
    <row r="8" spans="1:68" x14ac:dyDescent="0.25">
      <c r="A8" s="13" t="s">
        <v>16</v>
      </c>
      <c r="B8" s="14" t="s">
        <v>29</v>
      </c>
      <c r="C8" s="14" t="s">
        <v>53</v>
      </c>
      <c r="D8" s="14" t="s">
        <v>78</v>
      </c>
      <c r="E8" s="14" t="s">
        <v>53</v>
      </c>
      <c r="F8" s="14" t="s">
        <v>29</v>
      </c>
      <c r="G8" s="13" t="s">
        <v>16</v>
      </c>
      <c r="H8" s="61">
        <v>7</v>
      </c>
      <c r="I8" s="49" t="s">
        <v>4</v>
      </c>
      <c r="J8" s="11"/>
      <c r="K8" s="49" t="s">
        <v>20</v>
      </c>
      <c r="L8" s="11"/>
      <c r="M8" s="13">
        <f t="shared" si="6"/>
        <v>0</v>
      </c>
      <c r="N8" s="13">
        <f t="shared" si="0"/>
        <v>0</v>
      </c>
      <c r="O8" s="14"/>
      <c r="Q8" s="12"/>
      <c r="R8" s="63">
        <f t="shared" si="7"/>
        <v>0</v>
      </c>
      <c r="S8" s="63">
        <f t="shared" si="8"/>
        <v>0</v>
      </c>
      <c r="T8" s="63">
        <f t="shared" si="9"/>
        <v>0</v>
      </c>
      <c r="U8" s="63">
        <f t="shared" si="10"/>
        <v>0</v>
      </c>
      <c r="W8" s="11"/>
      <c r="X8" s="11"/>
      <c r="Y8" s="11"/>
      <c r="AL8" s="14" t="s">
        <v>19</v>
      </c>
      <c r="AM8" s="14" t="s">
        <v>19</v>
      </c>
      <c r="AN8" s="14" t="s">
        <v>19</v>
      </c>
      <c r="AO8" s="14" t="s">
        <v>19</v>
      </c>
      <c r="AQ8" s="60">
        <v>6</v>
      </c>
      <c r="AS8" s="62" t="str">
        <f>IF(AL8="","",IF(OR(AL8="Fr",AL8="La",AL8="Sn"),IF(AL8&lt;&gt;IFERROR(VLOOKUP(Wahlbogen!$B$6,F!$A$2:$C$22,3,0),"Sp"),"",AL8),AL8))</f>
        <v/>
      </c>
      <c r="AT8" s="62" t="str">
        <f>IF(AM8="","",IF(OR(AM8="Fr",AM8="La",AM8="Sn"),IF(AM8&lt;&gt;IFERROR(VLOOKUP(Wahlbogen!$B$6,F!$A$2:$C$22,3,0),"Sp"),"",AM8),AM8))</f>
        <v/>
      </c>
      <c r="AU8" s="62" t="str">
        <f>IF(AN8="","",IF(OR(AN8="Fr",AN8="La",AN8="Sn"),IF(AN8&lt;&gt;IFERROR(VLOOKUP(Wahlbogen!$B$6,F!$A$2:$C$22,3,0),"Sp"),"",AN8),AN8))</f>
        <v/>
      </c>
      <c r="AV8" s="62" t="str">
        <f>IF(AO8="","",IF(OR(AO8="Fr",AO8="La",AO8="Sn"),IF(AO8&lt;&gt;IFERROR(VLOOKUP(Wahlbogen!$B$6,F!$A$2:$C$22,3,0),"Sp"),"",AO8),AO8))</f>
        <v/>
      </c>
      <c r="AX8" s="62" t="str">
        <f t="shared" si="11"/>
        <v/>
      </c>
      <c r="AY8" s="62" t="str">
        <f t="shared" si="2"/>
        <v/>
      </c>
      <c r="AZ8" s="62" t="str">
        <f t="shared" si="2"/>
        <v/>
      </c>
      <c r="BA8" s="62" t="str">
        <f t="shared" si="2"/>
        <v/>
      </c>
      <c r="BC8" s="62" t="str">
        <f t="shared" si="12"/>
        <v/>
      </c>
      <c r="BD8" s="62" t="str">
        <f t="shared" si="3"/>
        <v/>
      </c>
      <c r="BE8" s="62" t="str">
        <f t="shared" si="3"/>
        <v/>
      </c>
      <c r="BF8" s="62" t="str">
        <f t="shared" si="3"/>
        <v/>
      </c>
      <c r="BH8" s="62" t="str">
        <f t="shared" si="13"/>
        <v/>
      </c>
      <c r="BI8" s="62" t="str">
        <f t="shared" si="4"/>
        <v/>
      </c>
      <c r="BJ8" s="62" t="str">
        <f t="shared" si="4"/>
        <v/>
      </c>
      <c r="BK8" s="62" t="str">
        <f t="shared" si="4"/>
        <v/>
      </c>
      <c r="BM8" s="62" t="str">
        <f t="shared" si="14"/>
        <v/>
      </c>
      <c r="BN8" s="62" t="str">
        <f t="shared" si="5"/>
        <v/>
      </c>
      <c r="BO8" s="62" t="str">
        <f t="shared" si="5"/>
        <v/>
      </c>
      <c r="BP8" s="62" t="str">
        <f t="shared" si="5"/>
        <v/>
      </c>
    </row>
    <row r="9" spans="1:68" x14ac:dyDescent="0.25">
      <c r="A9" s="13" t="s">
        <v>15</v>
      </c>
      <c r="B9" s="14" t="s">
        <v>32</v>
      </c>
      <c r="C9" s="14" t="s">
        <v>56</v>
      </c>
      <c r="D9" s="14" t="s">
        <v>81</v>
      </c>
      <c r="E9" s="14" t="s">
        <v>56</v>
      </c>
      <c r="F9" s="14" t="s">
        <v>32</v>
      </c>
      <c r="G9" s="13" t="s">
        <v>15</v>
      </c>
      <c r="H9" s="61">
        <v>8</v>
      </c>
      <c r="I9" s="49" t="s">
        <v>5</v>
      </c>
      <c r="K9" s="49" t="s">
        <v>21</v>
      </c>
      <c r="L9" s="16"/>
      <c r="M9" s="13">
        <f t="shared" si="6"/>
        <v>0</v>
      </c>
      <c r="N9" s="13">
        <v>0</v>
      </c>
      <c r="O9" s="14"/>
      <c r="Q9" s="12"/>
      <c r="R9" s="63">
        <f t="shared" si="7"/>
        <v>0</v>
      </c>
      <c r="S9" s="63">
        <f t="shared" si="8"/>
        <v>0</v>
      </c>
      <c r="T9" s="63">
        <f t="shared" si="9"/>
        <v>0</v>
      </c>
      <c r="U9" s="63">
        <f t="shared" si="10"/>
        <v>0</v>
      </c>
      <c r="W9" s="11"/>
      <c r="X9" s="11"/>
      <c r="Y9" s="11"/>
      <c r="AL9" s="14" t="s">
        <v>19</v>
      </c>
      <c r="AM9" s="14" t="s">
        <v>19</v>
      </c>
      <c r="AN9" s="14" t="s">
        <v>19</v>
      </c>
      <c r="AO9" s="14" t="s">
        <v>19</v>
      </c>
      <c r="AQ9" s="60">
        <v>7</v>
      </c>
      <c r="AS9" s="62" t="str">
        <f>IF(AL9="","",IF(OR(AL9="Fr",AL9="La",AL9="Sn"),IF(AL9&lt;&gt;IFERROR(VLOOKUP(Wahlbogen!$B$6,F!$A$2:$C$22,3,0),"Sp"),"",AL9),AL9))</f>
        <v/>
      </c>
      <c r="AT9" s="62" t="str">
        <f>IF(AM9="","",IF(OR(AM9="Fr",AM9="La",AM9="Sn"),IF(AM9&lt;&gt;IFERROR(VLOOKUP(Wahlbogen!$B$6,F!$A$2:$C$22,3,0),"Sp"),"",AM9),AM9))</f>
        <v/>
      </c>
      <c r="AU9" s="62" t="str">
        <f>IF(AN9="","",IF(OR(AN9="Fr",AN9="La",AN9="Sn"),IF(AN9&lt;&gt;IFERROR(VLOOKUP(Wahlbogen!$B$6,F!$A$2:$C$22,3,0),"Sp"),"",AN9),AN9))</f>
        <v/>
      </c>
      <c r="AV9" s="62" t="str">
        <f>IF(AO9="","",IF(OR(AO9="Fr",AO9="La",AO9="Sn"),IF(AO9&lt;&gt;IFERROR(VLOOKUP(Wahlbogen!$B$6,F!$A$2:$C$22,3,0),"Sp"),"",AO9),AO9))</f>
        <v/>
      </c>
      <c r="AX9" s="62" t="str">
        <f t="shared" si="11"/>
        <v/>
      </c>
      <c r="AY9" s="62" t="str">
        <f t="shared" si="2"/>
        <v/>
      </c>
      <c r="AZ9" s="62" t="str">
        <f t="shared" si="2"/>
        <v/>
      </c>
      <c r="BA9" s="62" t="str">
        <f t="shared" si="2"/>
        <v/>
      </c>
      <c r="BC9" s="62" t="str">
        <f t="shared" si="12"/>
        <v/>
      </c>
      <c r="BD9" s="62" t="str">
        <f t="shared" si="3"/>
        <v/>
      </c>
      <c r="BE9" s="62" t="str">
        <f t="shared" si="3"/>
        <v/>
      </c>
      <c r="BF9" s="62" t="str">
        <f t="shared" si="3"/>
        <v/>
      </c>
      <c r="BH9" s="62" t="str">
        <f t="shared" si="13"/>
        <v/>
      </c>
      <c r="BI9" s="62" t="str">
        <f t="shared" si="4"/>
        <v/>
      </c>
      <c r="BJ9" s="62" t="str">
        <f t="shared" si="4"/>
        <v/>
      </c>
      <c r="BK9" s="62" t="str">
        <f t="shared" si="4"/>
        <v/>
      </c>
      <c r="BM9" s="62" t="str">
        <f t="shared" si="14"/>
        <v/>
      </c>
      <c r="BN9" s="62" t="str">
        <f t="shared" si="5"/>
        <v/>
      </c>
      <c r="BO9" s="62" t="str">
        <f t="shared" si="5"/>
        <v/>
      </c>
      <c r="BP9" s="62" t="str">
        <f t="shared" si="5"/>
        <v/>
      </c>
    </row>
    <row r="10" spans="1:68" x14ac:dyDescent="0.25">
      <c r="A10" s="13" t="s">
        <v>17</v>
      </c>
      <c r="B10" s="14" t="s">
        <v>36</v>
      </c>
      <c r="C10" s="14" t="s">
        <v>44</v>
      </c>
      <c r="D10" s="14" t="s">
        <v>84</v>
      </c>
      <c r="E10" s="14" t="s">
        <v>44</v>
      </c>
      <c r="F10" s="14" t="s">
        <v>36</v>
      </c>
      <c r="G10" s="13" t="s">
        <v>17</v>
      </c>
      <c r="H10" s="61">
        <v>9</v>
      </c>
      <c r="I10" s="49" t="s">
        <v>21</v>
      </c>
      <c r="K10" s="49" t="s">
        <v>276</v>
      </c>
      <c r="L10" s="11"/>
      <c r="M10" s="13">
        <v>0</v>
      </c>
      <c r="N10" s="71">
        <v>0</v>
      </c>
      <c r="O10" s="14"/>
      <c r="Q10" s="12"/>
      <c r="R10" s="63">
        <f t="shared" si="7"/>
        <v>0</v>
      </c>
      <c r="S10" s="63">
        <f t="shared" si="8"/>
        <v>0</v>
      </c>
      <c r="T10" s="63">
        <f t="shared" si="9"/>
        <v>0</v>
      </c>
      <c r="U10" s="63">
        <f t="shared" si="10"/>
        <v>0</v>
      </c>
      <c r="W10" s="11"/>
      <c r="X10" s="11"/>
      <c r="Y10" s="11"/>
      <c r="AL10" s="14" t="s">
        <v>19</v>
      </c>
      <c r="AM10" s="14" t="s">
        <v>19</v>
      </c>
      <c r="AN10" s="14" t="s">
        <v>19</v>
      </c>
      <c r="AO10" s="14" t="s">
        <v>19</v>
      </c>
      <c r="AQ10" s="60">
        <v>8</v>
      </c>
      <c r="AS10" s="62" t="str">
        <f>IF(AL10="","",IF(OR(AL10="Fr",AL10="La",AL10="Sn"),IF(AL10&lt;&gt;IFERROR(VLOOKUP(Wahlbogen!$B$6,F!$A$2:$C$22,3,0),"Sp"),"",AL10),AL10))</f>
        <v/>
      </c>
      <c r="AT10" s="62" t="str">
        <f>IF(AM10="","",IF(OR(AM10="Fr",AM10="La",AM10="Sn"),IF(AM10&lt;&gt;IFERROR(VLOOKUP(Wahlbogen!$B$6,F!$A$2:$C$22,3,0),"Sp"),"",AM10),AM10))</f>
        <v/>
      </c>
      <c r="AU10" s="62" t="str">
        <f>IF(AN10="","",IF(OR(AN10="Fr",AN10="La",AN10="Sn"),IF(AN10&lt;&gt;IFERROR(VLOOKUP(Wahlbogen!$B$6,F!$A$2:$C$22,3,0),"Sp"),"",AN10),AN10))</f>
        <v/>
      </c>
      <c r="AV10" s="62" t="str">
        <f>IF(AO10="","",IF(OR(AO10="Fr",AO10="La",AO10="Sn"),IF(AO10&lt;&gt;IFERROR(VLOOKUP(Wahlbogen!$B$6,F!$A$2:$C$22,3,0),"Sp"),"",AO10),AO10))</f>
        <v/>
      </c>
      <c r="AX10" s="62" t="str">
        <f t="shared" si="11"/>
        <v/>
      </c>
      <c r="AY10" s="62" t="str">
        <f t="shared" si="2"/>
        <v/>
      </c>
      <c r="AZ10" s="62" t="str">
        <f t="shared" si="2"/>
        <v/>
      </c>
      <c r="BA10" s="62" t="str">
        <f t="shared" si="2"/>
        <v/>
      </c>
      <c r="BC10" s="62" t="str">
        <f t="shared" si="12"/>
        <v/>
      </c>
      <c r="BD10" s="62" t="str">
        <f t="shared" si="3"/>
        <v/>
      </c>
      <c r="BE10" s="62" t="str">
        <f t="shared" si="3"/>
        <v/>
      </c>
      <c r="BF10" s="62" t="str">
        <f t="shared" si="3"/>
        <v/>
      </c>
      <c r="BH10" s="62" t="str">
        <f t="shared" si="13"/>
        <v/>
      </c>
      <c r="BI10" s="62" t="str">
        <f t="shared" si="4"/>
        <v/>
      </c>
      <c r="BJ10" s="62" t="str">
        <f t="shared" si="4"/>
        <v/>
      </c>
      <c r="BK10" s="62" t="str">
        <f t="shared" si="4"/>
        <v/>
      </c>
      <c r="BM10" s="62" t="str">
        <f t="shared" si="14"/>
        <v/>
      </c>
      <c r="BN10" s="62" t="str">
        <f t="shared" si="5"/>
        <v/>
      </c>
      <c r="BO10" s="62" t="str">
        <f t="shared" si="5"/>
        <v/>
      </c>
      <c r="BP10" s="62" t="str">
        <f t="shared" si="5"/>
        <v/>
      </c>
    </row>
    <row r="11" spans="1:68" x14ac:dyDescent="0.25">
      <c r="A11" s="13" t="s">
        <v>6</v>
      </c>
      <c r="B11" s="14" t="s">
        <v>27</v>
      </c>
      <c r="C11" s="14" t="s">
        <v>50</v>
      </c>
      <c r="D11" s="14" t="s">
        <v>75</v>
      </c>
      <c r="E11" s="14" t="s">
        <v>50</v>
      </c>
      <c r="F11" s="14" t="s">
        <v>27</v>
      </c>
      <c r="G11" s="13" t="s">
        <v>6</v>
      </c>
      <c r="H11" s="61">
        <v>10</v>
      </c>
      <c r="I11" s="49" t="s">
        <v>199</v>
      </c>
      <c r="K11" s="49"/>
      <c r="L11" s="11"/>
      <c r="M11" s="13">
        <v>0</v>
      </c>
      <c r="N11" s="71">
        <v>0</v>
      </c>
      <c r="O11" s="14"/>
      <c r="Q11" s="12"/>
      <c r="R11" s="63">
        <f t="shared" si="7"/>
        <v>0</v>
      </c>
      <c r="S11" s="63">
        <f t="shared" si="8"/>
        <v>0</v>
      </c>
      <c r="T11" s="63">
        <f t="shared" si="9"/>
        <v>0</v>
      </c>
      <c r="U11" s="63">
        <f t="shared" si="10"/>
        <v>0</v>
      </c>
      <c r="W11" s="11"/>
      <c r="X11" s="11"/>
      <c r="Y11" s="11"/>
      <c r="AB11" s="18" t="s">
        <v>123</v>
      </c>
      <c r="AL11" s="14" t="s">
        <v>19</v>
      </c>
      <c r="AM11" s="14" t="s">
        <v>19</v>
      </c>
      <c r="AN11" s="14" t="s">
        <v>19</v>
      </c>
      <c r="AO11" s="14" t="s">
        <v>19</v>
      </c>
      <c r="AQ11" s="60">
        <v>9</v>
      </c>
      <c r="AS11" s="62" t="str">
        <f>IF(AL11="","",IF(OR(AL11="Fr",AL11="La",AL11="Sn"),IF(AL11&lt;&gt;IFERROR(VLOOKUP(Wahlbogen!$B$6,F!$A$2:$C$22,3,0),"Sp"),"",AL11),AL11))</f>
        <v/>
      </c>
      <c r="AT11" s="62" t="str">
        <f>IF(AM11="","",IF(OR(AM11="Fr",AM11="La",AM11="Sn"),IF(AM11&lt;&gt;IFERROR(VLOOKUP(Wahlbogen!$B$6,F!$A$2:$C$22,3,0),"Sp"),"",AM11),AM11))</f>
        <v/>
      </c>
      <c r="AU11" s="62" t="str">
        <f>IF(AN11="","",IF(OR(AN11="Fr",AN11="La",AN11="Sn"),IF(AN11&lt;&gt;IFERROR(VLOOKUP(Wahlbogen!$B$6,F!$A$2:$C$22,3,0),"Sp"),"",AN11),AN11))</f>
        <v/>
      </c>
      <c r="AV11" s="62" t="str">
        <f>IF(AO11="","",IF(OR(AO11="Fr",AO11="La",AO11="Sn"),IF(AO11&lt;&gt;IFERROR(VLOOKUP(Wahlbogen!$B$6,F!$A$2:$C$22,3,0),"Sp"),"",AO11),AO11))</f>
        <v/>
      </c>
      <c r="AX11" s="62" t="str">
        <f t="shared" si="11"/>
        <v/>
      </c>
      <c r="AY11" s="62" t="str">
        <f t="shared" si="2"/>
        <v/>
      </c>
      <c r="AZ11" s="62" t="str">
        <f t="shared" si="2"/>
        <v/>
      </c>
      <c r="BA11" s="62" t="str">
        <f t="shared" si="2"/>
        <v/>
      </c>
      <c r="BC11" s="62" t="str">
        <f t="shared" si="12"/>
        <v/>
      </c>
      <c r="BD11" s="62" t="str">
        <f t="shared" si="3"/>
        <v/>
      </c>
      <c r="BE11" s="62" t="str">
        <f t="shared" si="3"/>
        <v/>
      </c>
      <c r="BF11" s="62" t="str">
        <f t="shared" si="3"/>
        <v/>
      </c>
      <c r="BH11" s="62" t="str">
        <f t="shared" si="13"/>
        <v/>
      </c>
      <c r="BI11" s="62" t="str">
        <f t="shared" si="4"/>
        <v/>
      </c>
      <c r="BJ11" s="62" t="str">
        <f t="shared" si="4"/>
        <v/>
      </c>
      <c r="BK11" s="62" t="str">
        <f t="shared" si="4"/>
        <v/>
      </c>
      <c r="BM11" s="62" t="str">
        <f t="shared" si="14"/>
        <v/>
      </c>
      <c r="BN11" s="62" t="str">
        <f t="shared" si="5"/>
        <v/>
      </c>
      <c r="BO11" s="62" t="str">
        <f t="shared" si="5"/>
        <v/>
      </c>
      <c r="BP11" s="62" t="str">
        <f t="shared" si="5"/>
        <v/>
      </c>
    </row>
    <row r="12" spans="1:68" x14ac:dyDescent="0.25">
      <c r="A12" s="13" t="s">
        <v>8</v>
      </c>
      <c r="B12" s="14" t="s">
        <v>34</v>
      </c>
      <c r="C12" s="14" t="s">
        <v>58</v>
      </c>
      <c r="D12" s="14" t="s">
        <v>86</v>
      </c>
      <c r="E12" s="14" t="s">
        <v>58</v>
      </c>
      <c r="F12" s="14" t="s">
        <v>34</v>
      </c>
      <c r="G12" s="13" t="s">
        <v>8</v>
      </c>
      <c r="H12" s="61">
        <v>11</v>
      </c>
      <c r="I12" s="49" t="s">
        <v>289</v>
      </c>
      <c r="K12" s="49"/>
      <c r="L12" s="11"/>
      <c r="M12" s="13">
        <v>0</v>
      </c>
      <c r="N12" s="71">
        <v>0</v>
      </c>
      <c r="O12" s="14"/>
      <c r="Q12" s="12"/>
      <c r="R12" s="63">
        <f t="shared" si="7"/>
        <v>0</v>
      </c>
      <c r="S12" s="63">
        <f t="shared" si="8"/>
        <v>0</v>
      </c>
      <c r="T12" s="63">
        <f t="shared" si="9"/>
        <v>0</v>
      </c>
      <c r="U12" s="63">
        <f t="shared" si="10"/>
        <v>0</v>
      </c>
      <c r="W12" s="11"/>
      <c r="X12" s="11"/>
      <c r="Y12" s="11"/>
      <c r="AB12" s="18" t="s">
        <v>124</v>
      </c>
      <c r="AL12" s="14" t="s">
        <v>19</v>
      </c>
      <c r="AM12" s="14" t="s">
        <v>19</v>
      </c>
      <c r="AN12" s="14" t="s">
        <v>19</v>
      </c>
      <c r="AO12" s="14" t="s">
        <v>19</v>
      </c>
      <c r="AQ12" s="60">
        <v>10</v>
      </c>
      <c r="AS12" s="62" t="str">
        <f>IF(AL12="","",IF(OR(AL12="Fr",AL12="La",AL12="Sn"),IF(AL12&lt;&gt;IFERROR(VLOOKUP(Wahlbogen!$B$6,F!$A$2:$C$22,3,0),"Sp"),"",AL12),AL12))</f>
        <v/>
      </c>
      <c r="AT12" s="62" t="str">
        <f>IF(AM12="","",IF(OR(AM12="Fr",AM12="La",AM12="Sn"),IF(AM12&lt;&gt;IFERROR(VLOOKUP(Wahlbogen!$B$6,F!$A$2:$C$22,3,0),"Sp"),"",AM12),AM12))</f>
        <v/>
      </c>
      <c r="AU12" s="62" t="str">
        <f>IF(AN12="","",IF(OR(AN12="Fr",AN12="La",AN12="Sn"),IF(AN12&lt;&gt;IFERROR(VLOOKUP(Wahlbogen!$B$6,F!$A$2:$C$22,3,0),"Sp"),"",AN12),AN12))</f>
        <v/>
      </c>
      <c r="AV12" s="62" t="str">
        <f>IF(AO12="","",IF(OR(AO12="Fr",AO12="La",AO12="Sn"),IF(AO12&lt;&gt;IFERROR(VLOOKUP(Wahlbogen!$B$6,F!$A$2:$C$22,3,0),"Sp"),"",AO12),AO12))</f>
        <v/>
      </c>
      <c r="AX12" s="62" t="str">
        <f t="shared" si="11"/>
        <v/>
      </c>
      <c r="AY12" s="62" t="str">
        <f t="shared" si="2"/>
        <v/>
      </c>
      <c r="AZ12" s="62" t="str">
        <f t="shared" si="2"/>
        <v/>
      </c>
      <c r="BA12" s="62" t="str">
        <f t="shared" si="2"/>
        <v/>
      </c>
      <c r="BC12" s="62" t="str">
        <f t="shared" si="12"/>
        <v/>
      </c>
      <c r="BD12" s="62" t="str">
        <f t="shared" si="3"/>
        <v/>
      </c>
      <c r="BE12" s="62" t="str">
        <f t="shared" si="3"/>
        <v/>
      </c>
      <c r="BF12" s="62" t="str">
        <f t="shared" si="3"/>
        <v/>
      </c>
      <c r="BH12" s="62" t="str">
        <f t="shared" si="13"/>
        <v/>
      </c>
      <c r="BI12" s="62" t="str">
        <f t="shared" si="4"/>
        <v/>
      </c>
      <c r="BJ12" s="62" t="str">
        <f t="shared" si="4"/>
        <v/>
      </c>
      <c r="BK12" s="62" t="str">
        <f t="shared" si="4"/>
        <v/>
      </c>
      <c r="BM12" s="62" t="str">
        <f t="shared" si="14"/>
        <v/>
      </c>
      <c r="BN12" s="62" t="str">
        <f t="shared" si="5"/>
        <v/>
      </c>
      <c r="BO12" s="62" t="str">
        <f t="shared" si="5"/>
        <v/>
      </c>
      <c r="BP12" s="62" t="str">
        <f t="shared" si="5"/>
        <v/>
      </c>
    </row>
    <row r="13" spans="1:68" x14ac:dyDescent="0.25">
      <c r="A13" s="14" t="s">
        <v>9</v>
      </c>
      <c r="B13" s="14" t="s">
        <v>37</v>
      </c>
      <c r="C13" s="14" t="s">
        <v>47</v>
      </c>
      <c r="D13" s="14" t="s">
        <v>73</v>
      </c>
      <c r="E13" s="14" t="s">
        <v>47</v>
      </c>
      <c r="F13" s="14" t="s">
        <v>37</v>
      </c>
      <c r="G13" s="13" t="s">
        <v>9</v>
      </c>
      <c r="H13" s="61">
        <v>12</v>
      </c>
      <c r="I13" s="49"/>
      <c r="K13" s="49"/>
      <c r="L13" s="11"/>
      <c r="M13" s="13">
        <v>0</v>
      </c>
      <c r="N13" s="71">
        <v>0</v>
      </c>
      <c r="O13" s="14"/>
      <c r="Q13" s="12"/>
      <c r="R13" s="63">
        <f t="shared" si="7"/>
        <v>0</v>
      </c>
      <c r="S13" s="63">
        <f t="shared" si="8"/>
        <v>0</v>
      </c>
      <c r="T13" s="63">
        <f t="shared" si="9"/>
        <v>0</v>
      </c>
      <c r="U13" s="63">
        <f t="shared" si="10"/>
        <v>0</v>
      </c>
      <c r="W13" s="11"/>
      <c r="X13" s="11"/>
      <c r="Y13" s="11"/>
      <c r="AL13" s="14" t="s">
        <v>19</v>
      </c>
      <c r="AM13" s="14" t="s">
        <v>19</v>
      </c>
      <c r="AN13" s="14" t="s">
        <v>19</v>
      </c>
      <c r="AO13" s="14" t="s">
        <v>19</v>
      </c>
      <c r="AQ13" s="60">
        <v>11</v>
      </c>
      <c r="AS13" s="62" t="str">
        <f>IF(AL13="","",IF(OR(AL13="Fr",AL13="La",AL13="Sn"),IF(AL13&lt;&gt;IFERROR(VLOOKUP(Wahlbogen!$B$6,F!$A$2:$C$22,3,0),"Sp"),"",AL13),AL13))</f>
        <v/>
      </c>
      <c r="AT13" s="62" t="str">
        <f>IF(AM13="","",IF(OR(AM13="Fr",AM13="La",AM13="Sn"),IF(AM13&lt;&gt;IFERROR(VLOOKUP(Wahlbogen!$B$6,F!$A$2:$C$22,3,0),"Sp"),"",AM13),AM13))</f>
        <v/>
      </c>
      <c r="AU13" s="62" t="str">
        <f>IF(AN13="","",IF(OR(AN13="Fr",AN13="La",AN13="Sn"),IF(AN13&lt;&gt;IFERROR(VLOOKUP(Wahlbogen!$B$6,F!$A$2:$C$22,3,0),"Sp"),"",AN13),AN13))</f>
        <v/>
      </c>
      <c r="AV13" s="62" t="str">
        <f>IF(AO13="","",IF(OR(AO13="Fr",AO13="La",AO13="Sn"),IF(AO13&lt;&gt;IFERROR(VLOOKUP(Wahlbogen!$B$6,F!$A$2:$C$22,3,0),"Sp"),"",AO13),AO13))</f>
        <v/>
      </c>
      <c r="AX13" s="62" t="str">
        <f t="shared" si="11"/>
        <v/>
      </c>
      <c r="AY13" s="62" t="str">
        <f t="shared" si="2"/>
        <v/>
      </c>
      <c r="AZ13" s="62" t="str">
        <f t="shared" si="2"/>
        <v/>
      </c>
      <c r="BA13" s="62" t="str">
        <f t="shared" si="2"/>
        <v/>
      </c>
      <c r="BC13" s="62" t="str">
        <f t="shared" si="12"/>
        <v/>
      </c>
      <c r="BD13" s="62" t="str">
        <f t="shared" si="3"/>
        <v/>
      </c>
      <c r="BE13" s="62" t="str">
        <f t="shared" si="3"/>
        <v/>
      </c>
      <c r="BF13" s="62" t="str">
        <f t="shared" si="3"/>
        <v/>
      </c>
      <c r="BH13" s="62" t="str">
        <f t="shared" si="13"/>
        <v/>
      </c>
      <c r="BI13" s="62" t="str">
        <f t="shared" si="4"/>
        <v/>
      </c>
      <c r="BJ13" s="62" t="str">
        <f t="shared" si="4"/>
        <v/>
      </c>
      <c r="BK13" s="62" t="str">
        <f t="shared" si="4"/>
        <v/>
      </c>
      <c r="BM13" s="62" t="str">
        <f t="shared" si="14"/>
        <v/>
      </c>
      <c r="BN13" s="62" t="str">
        <f t="shared" si="5"/>
        <v/>
      </c>
      <c r="BO13" s="62" t="str">
        <f t="shared" si="5"/>
        <v/>
      </c>
      <c r="BP13" s="62" t="str">
        <f t="shared" si="5"/>
        <v/>
      </c>
    </row>
    <row r="14" spans="1:68" x14ac:dyDescent="0.25">
      <c r="A14" s="13" t="s">
        <v>10</v>
      </c>
      <c r="B14" s="14" t="s">
        <v>38</v>
      </c>
      <c r="C14" s="14" t="s">
        <v>48</v>
      </c>
      <c r="D14" s="14" t="s">
        <v>85</v>
      </c>
      <c r="E14" s="14" t="s">
        <v>48</v>
      </c>
      <c r="F14" s="14" t="s">
        <v>38</v>
      </c>
      <c r="G14" s="13" t="s">
        <v>10</v>
      </c>
      <c r="H14" s="61">
        <v>13</v>
      </c>
      <c r="I14" s="49"/>
      <c r="K14" s="49"/>
      <c r="L14" s="11"/>
      <c r="M14" s="13">
        <v>0</v>
      </c>
      <c r="N14" s="71">
        <v>0</v>
      </c>
      <c r="O14" s="14"/>
      <c r="Q14" s="12"/>
      <c r="R14" s="63">
        <f t="shared" si="7"/>
        <v>0</v>
      </c>
      <c r="S14" s="63">
        <f t="shared" si="8"/>
        <v>0</v>
      </c>
      <c r="T14" s="63">
        <f t="shared" si="9"/>
        <v>0</v>
      </c>
      <c r="U14" s="63">
        <f t="shared" si="10"/>
        <v>0</v>
      </c>
      <c r="W14" s="11"/>
      <c r="X14" s="11"/>
      <c r="Y14" s="11"/>
      <c r="AL14" s="14" t="s">
        <v>19</v>
      </c>
      <c r="AM14" s="14" t="s">
        <v>19</v>
      </c>
      <c r="AN14" s="14" t="s">
        <v>19</v>
      </c>
      <c r="AO14" s="14" t="s">
        <v>19</v>
      </c>
      <c r="AQ14" s="60">
        <v>12</v>
      </c>
      <c r="AS14" s="62" t="str">
        <f>IF(AL14="","",IF(OR(AL14="Fr",AL14="La",AL14="Sn"),IF(AL14&lt;&gt;IFERROR(VLOOKUP(Wahlbogen!$B$6,F!$A$2:$C$22,3,0),"Sp"),"",AL14),AL14))</f>
        <v/>
      </c>
      <c r="AT14" s="62" t="str">
        <f>IF(AM14="","",IF(OR(AM14="Fr",AM14="La",AM14="Sn"),IF(AM14&lt;&gt;IFERROR(VLOOKUP(Wahlbogen!$B$6,F!$A$2:$C$22,3,0),"Sp"),"",AM14),AM14))</f>
        <v/>
      </c>
      <c r="AU14" s="62" t="str">
        <f>IF(AN14="","",IF(OR(AN14="Fr",AN14="La",AN14="Sn"),IF(AN14&lt;&gt;IFERROR(VLOOKUP(Wahlbogen!$B$6,F!$A$2:$C$22,3,0),"Sp"),"",AN14),AN14))</f>
        <v/>
      </c>
      <c r="AV14" s="62" t="str">
        <f>IF(AO14="","",IF(OR(AO14="Fr",AO14="La",AO14="Sn"),IF(AO14&lt;&gt;IFERROR(VLOOKUP(Wahlbogen!$B$6,F!$A$2:$C$22,3,0),"Sp"),"",AO14),AO14))</f>
        <v/>
      </c>
      <c r="AX14" s="62" t="str">
        <f t="shared" si="11"/>
        <v/>
      </c>
      <c r="AY14" s="62" t="str">
        <f t="shared" si="2"/>
        <v/>
      </c>
      <c r="AZ14" s="62" t="str">
        <f t="shared" si="2"/>
        <v/>
      </c>
      <c r="BA14" s="62" t="str">
        <f t="shared" si="2"/>
        <v/>
      </c>
      <c r="BC14" s="62" t="str">
        <f t="shared" si="12"/>
        <v/>
      </c>
      <c r="BD14" s="62" t="str">
        <f t="shared" si="3"/>
        <v/>
      </c>
      <c r="BE14" s="62" t="str">
        <f t="shared" si="3"/>
        <v/>
      </c>
      <c r="BF14" s="62" t="str">
        <f t="shared" si="3"/>
        <v/>
      </c>
      <c r="BH14" s="62" t="str">
        <f t="shared" si="13"/>
        <v/>
      </c>
      <c r="BI14" s="62" t="str">
        <f t="shared" si="4"/>
        <v/>
      </c>
      <c r="BJ14" s="62" t="str">
        <f t="shared" si="4"/>
        <v/>
      </c>
      <c r="BK14" s="62" t="str">
        <f t="shared" si="4"/>
        <v/>
      </c>
      <c r="BM14" s="62" t="str">
        <f t="shared" si="14"/>
        <v/>
      </c>
      <c r="BN14" s="62" t="str">
        <f t="shared" si="5"/>
        <v/>
      </c>
      <c r="BO14" s="62" t="str">
        <f t="shared" si="5"/>
        <v/>
      </c>
      <c r="BP14" s="62" t="str">
        <f t="shared" si="5"/>
        <v/>
      </c>
    </row>
    <row r="15" spans="1:68" x14ac:dyDescent="0.25">
      <c r="A15" s="13" t="s">
        <v>18</v>
      </c>
      <c r="B15" s="14" t="s">
        <v>41</v>
      </c>
      <c r="C15" s="14" t="s">
        <v>60</v>
      </c>
      <c r="D15" s="14" t="s">
        <v>87</v>
      </c>
      <c r="E15" s="14" t="s">
        <v>60</v>
      </c>
      <c r="F15" s="14" t="s">
        <v>41</v>
      </c>
      <c r="G15" s="13" t="s">
        <v>18</v>
      </c>
      <c r="H15" s="61">
        <v>14</v>
      </c>
      <c r="I15" s="49"/>
      <c r="K15" s="49"/>
      <c r="L15" s="11"/>
      <c r="M15" s="13">
        <v>0</v>
      </c>
      <c r="N15" s="71">
        <v>0</v>
      </c>
      <c r="O15" s="14"/>
      <c r="Q15" s="12"/>
      <c r="R15" s="63">
        <f t="shared" si="7"/>
        <v>0</v>
      </c>
      <c r="S15" s="63">
        <f t="shared" si="8"/>
        <v>0</v>
      </c>
      <c r="T15" s="63">
        <f t="shared" si="9"/>
        <v>0</v>
      </c>
      <c r="U15" s="63">
        <f t="shared" si="10"/>
        <v>0</v>
      </c>
      <c r="W15" s="11"/>
      <c r="X15" s="11"/>
      <c r="Y15" s="11"/>
      <c r="AL15" s="14" t="s">
        <v>19</v>
      </c>
      <c r="AM15" s="14" t="s">
        <v>19</v>
      </c>
      <c r="AN15" s="14" t="s">
        <v>19</v>
      </c>
      <c r="AO15" s="14" t="s">
        <v>19</v>
      </c>
      <c r="AQ15" s="60">
        <v>13</v>
      </c>
      <c r="AS15" s="62" t="str">
        <f>IF(AL15="","",IF(OR(AL15="Fr",AL15="La",AL15="Sn"),IF(AL15&lt;&gt;IFERROR(VLOOKUP(Wahlbogen!$B$6,F!$A$2:$C$22,3,0),"Sp"),"",AL15),AL15))</f>
        <v/>
      </c>
      <c r="AT15" s="62" t="str">
        <f>IF(AM15="","",IF(OR(AM15="Fr",AM15="La",AM15="Sn"),IF(AM15&lt;&gt;IFERROR(VLOOKUP(Wahlbogen!$B$6,F!$A$2:$C$22,3,0),"Sp"),"",AM15),AM15))</f>
        <v/>
      </c>
      <c r="AU15" s="62" t="str">
        <f>IF(AN15="","",IF(OR(AN15="Fr",AN15="La",AN15="Sn"),IF(AN15&lt;&gt;IFERROR(VLOOKUP(Wahlbogen!$B$6,F!$A$2:$C$22,3,0),"Sp"),"",AN15),AN15))</f>
        <v/>
      </c>
      <c r="AV15" s="62" t="str">
        <f>IF(AO15="","",IF(OR(AO15="Fr",AO15="La",AO15="Sn"),IF(AO15&lt;&gt;IFERROR(VLOOKUP(Wahlbogen!$B$6,F!$A$2:$C$22,3,0),"Sp"),"",AO15),AO15))</f>
        <v/>
      </c>
      <c r="AX15" s="62" t="str">
        <f t="shared" si="11"/>
        <v/>
      </c>
      <c r="AY15" s="62" t="str">
        <f t="shared" si="2"/>
        <v/>
      </c>
      <c r="AZ15" s="62" t="str">
        <f t="shared" si="2"/>
        <v/>
      </c>
      <c r="BA15" s="62" t="str">
        <f t="shared" si="2"/>
        <v/>
      </c>
      <c r="BC15" s="62" t="str">
        <f t="shared" si="12"/>
        <v/>
      </c>
      <c r="BD15" s="62" t="str">
        <f t="shared" si="3"/>
        <v/>
      </c>
      <c r="BE15" s="62" t="str">
        <f t="shared" si="3"/>
        <v/>
      </c>
      <c r="BF15" s="62" t="str">
        <f t="shared" si="3"/>
        <v/>
      </c>
      <c r="BH15" s="62" t="str">
        <f t="shared" si="13"/>
        <v/>
      </c>
      <c r="BI15" s="62" t="str">
        <f t="shared" si="4"/>
        <v/>
      </c>
      <c r="BJ15" s="62" t="str">
        <f t="shared" si="4"/>
        <v/>
      </c>
      <c r="BK15" s="62" t="str">
        <f t="shared" si="4"/>
        <v/>
      </c>
      <c r="BM15" s="62" t="str">
        <f t="shared" si="14"/>
        <v/>
      </c>
      <c r="BN15" s="62" t="str">
        <f t="shared" si="5"/>
        <v/>
      </c>
      <c r="BO15" s="62" t="str">
        <f t="shared" si="5"/>
        <v/>
      </c>
      <c r="BP15" s="62" t="str">
        <f t="shared" si="5"/>
        <v/>
      </c>
    </row>
    <row r="16" spans="1:68" x14ac:dyDescent="0.25">
      <c r="A16" s="13" t="s">
        <v>7</v>
      </c>
      <c r="B16" s="14" t="s">
        <v>31</v>
      </c>
      <c r="C16" s="14" t="s">
        <v>55</v>
      </c>
      <c r="D16" s="14" t="s">
        <v>80</v>
      </c>
      <c r="E16" s="14" t="s">
        <v>55</v>
      </c>
      <c r="F16" s="14" t="s">
        <v>31</v>
      </c>
      <c r="G16" s="13" t="s">
        <v>7</v>
      </c>
      <c r="H16" s="61">
        <v>15</v>
      </c>
      <c r="I16" s="30"/>
      <c r="K16" s="11"/>
      <c r="L16" s="11"/>
      <c r="M16" s="13">
        <v>0</v>
      </c>
      <c r="N16" s="71">
        <v>0</v>
      </c>
      <c r="O16" s="14"/>
      <c r="Q16" s="12"/>
      <c r="R16" s="63">
        <f t="shared" si="7"/>
        <v>0</v>
      </c>
      <c r="S16" s="63">
        <f t="shared" si="8"/>
        <v>0</v>
      </c>
      <c r="T16" s="63">
        <f t="shared" si="9"/>
        <v>0</v>
      </c>
      <c r="U16" s="63">
        <f t="shared" si="10"/>
        <v>0</v>
      </c>
      <c r="W16" s="11"/>
      <c r="X16" s="11"/>
      <c r="Y16" s="11"/>
      <c r="AL16" s="14" t="s">
        <v>19</v>
      </c>
      <c r="AM16" s="14" t="s">
        <v>19</v>
      </c>
      <c r="AN16" s="14" t="s">
        <v>19</v>
      </c>
      <c r="AO16" s="14" t="s">
        <v>19</v>
      </c>
      <c r="AQ16" s="60">
        <v>14</v>
      </c>
      <c r="AS16" s="62" t="str">
        <f>IF(AL16="","",IF(OR(AL16="Fr",AL16="La",AL16="Sn"),IF(AL16&lt;&gt;IFERROR(VLOOKUP(Wahlbogen!$B$6,F!$A$2:$C$22,3,0),"Sp"),"",AL16),AL16))</f>
        <v/>
      </c>
      <c r="AT16" s="62" t="str">
        <f>IF(AM16="","",IF(OR(AM16="Fr",AM16="La",AM16="Sn"),IF(AM16&lt;&gt;IFERROR(VLOOKUP(Wahlbogen!$B$6,F!$A$2:$C$22,3,0),"Sp"),"",AM16),AM16))</f>
        <v/>
      </c>
      <c r="AU16" s="62" t="str">
        <f>IF(AN16="","",IF(OR(AN16="Fr",AN16="La",AN16="Sn"),IF(AN16&lt;&gt;IFERROR(VLOOKUP(Wahlbogen!$B$6,F!$A$2:$C$22,3,0),"Sp"),"",AN16),AN16))</f>
        <v/>
      </c>
      <c r="AV16" s="62" t="str">
        <f>IF(AO16="","",IF(OR(AO16="Fr",AO16="La",AO16="Sn"),IF(AO16&lt;&gt;IFERROR(VLOOKUP(Wahlbogen!$B$6,F!$A$2:$C$22,3,0),"Sp"),"",AO16),AO16))</f>
        <v/>
      </c>
      <c r="AX16" s="62" t="str">
        <f t="shared" si="11"/>
        <v/>
      </c>
      <c r="AY16" s="62" t="str">
        <f t="shared" si="2"/>
        <v/>
      </c>
      <c r="AZ16" s="62" t="str">
        <f t="shared" si="2"/>
        <v/>
      </c>
      <c r="BA16" s="62" t="str">
        <f t="shared" si="2"/>
        <v/>
      </c>
      <c r="BC16" s="62" t="str">
        <f t="shared" si="12"/>
        <v/>
      </c>
      <c r="BD16" s="62" t="str">
        <f t="shared" si="3"/>
        <v/>
      </c>
      <c r="BE16" s="62" t="str">
        <f t="shared" si="3"/>
        <v/>
      </c>
      <c r="BF16" s="62" t="str">
        <f t="shared" si="3"/>
        <v/>
      </c>
      <c r="BH16" s="62" t="str">
        <f t="shared" si="13"/>
        <v/>
      </c>
      <c r="BI16" s="62" t="str">
        <f t="shared" si="4"/>
        <v/>
      </c>
      <c r="BJ16" s="62" t="str">
        <f t="shared" si="4"/>
        <v/>
      </c>
      <c r="BK16" s="62" t="str">
        <f t="shared" si="4"/>
        <v/>
      </c>
      <c r="BM16" s="62" t="str">
        <f t="shared" si="14"/>
        <v/>
      </c>
      <c r="BN16" s="62" t="str">
        <f t="shared" si="5"/>
        <v/>
      </c>
      <c r="BO16" s="62" t="str">
        <f t="shared" si="5"/>
        <v/>
      </c>
      <c r="BP16" s="62" t="str">
        <f t="shared" si="5"/>
        <v/>
      </c>
    </row>
    <row r="17" spans="1:68" x14ac:dyDescent="0.25">
      <c r="A17" s="13" t="s">
        <v>11</v>
      </c>
      <c r="B17" s="14" t="s">
        <v>22</v>
      </c>
      <c r="C17" s="14" t="s">
        <v>42</v>
      </c>
      <c r="D17" s="14" t="s">
        <v>70</v>
      </c>
      <c r="E17" s="14" t="s">
        <v>42</v>
      </c>
      <c r="F17" s="14" t="s">
        <v>22</v>
      </c>
      <c r="G17" s="13" t="s">
        <v>11</v>
      </c>
      <c r="H17" s="61">
        <v>16</v>
      </c>
      <c r="Q17" s="12"/>
      <c r="R17" s="63">
        <f t="shared" si="7"/>
        <v>0</v>
      </c>
      <c r="S17" s="63">
        <f t="shared" si="8"/>
        <v>0</v>
      </c>
      <c r="T17" s="63">
        <f t="shared" si="9"/>
        <v>0</v>
      </c>
      <c r="U17" s="63">
        <f t="shared" si="10"/>
        <v>0</v>
      </c>
      <c r="W17" s="11"/>
      <c r="X17" s="11"/>
      <c r="Y17" s="11"/>
      <c r="AL17" s="14" t="s">
        <v>19</v>
      </c>
      <c r="AM17" s="14" t="s">
        <v>19</v>
      </c>
      <c r="AN17" s="14" t="s">
        <v>19</v>
      </c>
      <c r="AO17" s="14" t="s">
        <v>19</v>
      </c>
      <c r="AQ17" s="60">
        <v>15</v>
      </c>
      <c r="AS17" s="62" t="str">
        <f>IF(AL17="","",IF(OR(AL17="Fr",AL17="La",AL17="Sn"),IF(AL17&lt;&gt;IFERROR(VLOOKUP(Wahlbogen!$B$6,F!$A$2:$C$22,3,0),"Sp"),"",AL17),AL17))</f>
        <v/>
      </c>
      <c r="AT17" s="62" t="str">
        <f>IF(AM17="","",IF(OR(AM17="Fr",AM17="La",AM17="Sn"),IF(AM17&lt;&gt;IFERROR(VLOOKUP(Wahlbogen!$B$6,F!$A$2:$C$22,3,0),"Sp"),"",AM17),AM17))</f>
        <v/>
      </c>
      <c r="AU17" s="62" t="str">
        <f>IF(AN17="","",IF(OR(AN17="Fr",AN17="La",AN17="Sn"),IF(AN17&lt;&gt;IFERROR(VLOOKUP(Wahlbogen!$B$6,F!$A$2:$C$22,3,0),"Sp"),"",AN17),AN17))</f>
        <v/>
      </c>
      <c r="AV17" s="62" t="str">
        <f>IF(AO17="","",IF(OR(AO17="Fr",AO17="La",AO17="Sn"),IF(AO17&lt;&gt;IFERROR(VLOOKUP(Wahlbogen!$B$6,F!$A$2:$C$22,3,0),"Sp"),"",AO17),AO17))</f>
        <v/>
      </c>
      <c r="AX17" s="62" t="str">
        <f t="shared" si="11"/>
        <v/>
      </c>
      <c r="AY17" s="62" t="str">
        <f t="shared" si="2"/>
        <v/>
      </c>
      <c r="AZ17" s="62" t="str">
        <f t="shared" si="2"/>
        <v/>
      </c>
      <c r="BA17" s="62" t="str">
        <f t="shared" si="2"/>
        <v/>
      </c>
      <c r="BC17" s="62" t="str">
        <f t="shared" si="12"/>
        <v/>
      </c>
      <c r="BD17" s="62" t="str">
        <f t="shared" si="3"/>
        <v/>
      </c>
      <c r="BE17" s="62" t="str">
        <f t="shared" si="3"/>
        <v/>
      </c>
      <c r="BF17" s="62" t="str">
        <f t="shared" si="3"/>
        <v/>
      </c>
      <c r="BH17" s="62" t="str">
        <f t="shared" si="13"/>
        <v/>
      </c>
      <c r="BI17" s="62" t="str">
        <f t="shared" si="4"/>
        <v/>
      </c>
      <c r="BJ17" s="62" t="str">
        <f t="shared" si="4"/>
        <v/>
      </c>
      <c r="BK17" s="62" t="str">
        <f t="shared" si="4"/>
        <v/>
      </c>
      <c r="BM17" s="62" t="str">
        <f t="shared" si="14"/>
        <v/>
      </c>
      <c r="BN17" s="62" t="str">
        <f t="shared" si="5"/>
        <v/>
      </c>
      <c r="BO17" s="62" t="str">
        <f t="shared" si="5"/>
        <v/>
      </c>
      <c r="BP17" s="62" t="str">
        <f t="shared" si="5"/>
        <v/>
      </c>
    </row>
    <row r="18" spans="1:68" x14ac:dyDescent="0.25">
      <c r="A18" s="13" t="s">
        <v>12</v>
      </c>
      <c r="B18" s="14" t="s">
        <v>23</v>
      </c>
      <c r="C18" s="14" t="s">
        <v>43</v>
      </c>
      <c r="D18" s="14" t="s">
        <v>71</v>
      </c>
      <c r="E18" s="14" t="s">
        <v>43</v>
      </c>
      <c r="F18" s="14" t="s">
        <v>23</v>
      </c>
      <c r="G18" s="13" t="s">
        <v>12</v>
      </c>
      <c r="H18" s="61">
        <v>17</v>
      </c>
      <c r="I18" s="59" t="s">
        <v>93</v>
      </c>
      <c r="K18" s="19" t="s">
        <v>107</v>
      </c>
      <c r="L18" s="20"/>
      <c r="M18" s="21"/>
      <c r="Q18" s="12"/>
      <c r="R18" s="63">
        <f t="shared" si="7"/>
        <v>0</v>
      </c>
      <c r="S18" s="63">
        <f t="shared" si="8"/>
        <v>0</v>
      </c>
      <c r="T18" s="63">
        <f t="shared" si="9"/>
        <v>0</v>
      </c>
      <c r="U18" s="63">
        <f t="shared" si="10"/>
        <v>0</v>
      </c>
      <c r="W18" s="11"/>
      <c r="X18" s="11"/>
      <c r="Y18" s="11"/>
      <c r="AL18" s="14" t="s">
        <v>19</v>
      </c>
      <c r="AM18" s="14" t="s">
        <v>19</v>
      </c>
      <c r="AN18" s="14" t="s">
        <v>19</v>
      </c>
      <c r="AO18" s="14" t="s">
        <v>19</v>
      </c>
      <c r="AQ18" s="60">
        <v>16</v>
      </c>
      <c r="AS18" s="62" t="str">
        <f>IF(AL18="","",IF(OR(AL18="Fr",AL18="La",AL18="Sn"),IF(AL18&lt;&gt;IFERROR(VLOOKUP(Wahlbogen!$B$6,F!$A$2:$C$22,3,0),"Sp"),"",AL18),AL18))</f>
        <v/>
      </c>
      <c r="AT18" s="62" t="str">
        <f>IF(AM18="","",IF(OR(AM18="Fr",AM18="La",AM18="Sn"),IF(AM18&lt;&gt;IFERROR(VLOOKUP(Wahlbogen!$B$6,F!$A$2:$C$22,3,0),"Sp"),"",AM18),AM18))</f>
        <v/>
      </c>
      <c r="AU18" s="62" t="str">
        <f>IF(AN18="","",IF(OR(AN18="Fr",AN18="La",AN18="Sn"),IF(AN18&lt;&gt;IFERROR(VLOOKUP(Wahlbogen!$B$6,F!$A$2:$C$22,3,0),"Sp"),"",AN18),AN18))</f>
        <v/>
      </c>
      <c r="AV18" s="62" t="str">
        <f>IF(AO18="","",IF(OR(AO18="Fr",AO18="La",AO18="Sn"),IF(AO18&lt;&gt;IFERROR(VLOOKUP(Wahlbogen!$B$6,F!$A$2:$C$22,3,0),"Sp"),"",AO18),AO18))</f>
        <v/>
      </c>
      <c r="AX18" s="62" t="str">
        <f t="shared" si="11"/>
        <v/>
      </c>
      <c r="AY18" s="62" t="str">
        <f t="shared" si="2"/>
        <v/>
      </c>
      <c r="AZ18" s="62" t="str">
        <f t="shared" si="2"/>
        <v/>
      </c>
      <c r="BA18" s="62" t="str">
        <f t="shared" si="2"/>
        <v/>
      </c>
      <c r="BC18" s="62" t="str">
        <f t="shared" si="12"/>
        <v/>
      </c>
      <c r="BD18" s="62" t="str">
        <f t="shared" si="3"/>
        <v/>
      </c>
      <c r="BE18" s="62" t="str">
        <f t="shared" si="3"/>
        <v/>
      </c>
      <c r="BF18" s="62" t="str">
        <f t="shared" si="3"/>
        <v/>
      </c>
      <c r="BH18" s="62" t="str">
        <f t="shared" si="13"/>
        <v/>
      </c>
      <c r="BI18" s="62" t="str">
        <f t="shared" si="4"/>
        <v/>
      </c>
      <c r="BJ18" s="62" t="str">
        <f t="shared" si="4"/>
        <v/>
      </c>
      <c r="BK18" s="62" t="str">
        <f t="shared" si="4"/>
        <v/>
      </c>
      <c r="BM18" s="62" t="str">
        <f t="shared" si="14"/>
        <v/>
      </c>
      <c r="BN18" s="62" t="str">
        <f t="shared" si="5"/>
        <v/>
      </c>
      <c r="BO18" s="62" t="str">
        <f t="shared" si="5"/>
        <v/>
      </c>
      <c r="BP18" s="62" t="str">
        <f t="shared" si="5"/>
        <v/>
      </c>
    </row>
    <row r="19" spans="1:68" x14ac:dyDescent="0.25">
      <c r="A19" s="13" t="s">
        <v>13</v>
      </c>
      <c r="B19" s="14" t="s">
        <v>33</v>
      </c>
      <c r="C19" s="14" t="s">
        <v>57</v>
      </c>
      <c r="D19" s="14" t="s">
        <v>82</v>
      </c>
      <c r="E19" s="14" t="s">
        <v>57</v>
      </c>
      <c r="F19" s="14" t="s">
        <v>33</v>
      </c>
      <c r="G19" s="13" t="s">
        <v>13</v>
      </c>
      <c r="H19" s="61">
        <v>18</v>
      </c>
      <c r="I19" s="59" t="s">
        <v>94</v>
      </c>
      <c r="K19" s="22">
        <v>37</v>
      </c>
      <c r="L19" s="1"/>
      <c r="M19" s="23"/>
      <c r="Q19" s="12"/>
      <c r="R19" s="63">
        <f t="shared" si="7"/>
        <v>0</v>
      </c>
      <c r="S19" s="63">
        <f t="shared" si="8"/>
        <v>0</v>
      </c>
      <c r="T19" s="63">
        <f t="shared" si="9"/>
        <v>0</v>
      </c>
      <c r="U19" s="63">
        <f t="shared" si="10"/>
        <v>0</v>
      </c>
      <c r="W19" s="11"/>
      <c r="X19" s="11"/>
      <c r="Y19" s="11"/>
      <c r="AL19" s="14" t="s">
        <v>19</v>
      </c>
      <c r="AM19" s="14" t="s">
        <v>19</v>
      </c>
      <c r="AN19" s="14" t="s">
        <v>19</v>
      </c>
      <c r="AO19" s="14" t="s">
        <v>19</v>
      </c>
      <c r="AQ19" s="60">
        <v>17</v>
      </c>
      <c r="AS19" s="62" t="str">
        <f>IF(AL19="","",IF(OR(AL19="Fr",AL19="La",AL19="Sn"),IF(AL19&lt;&gt;IFERROR(VLOOKUP(Wahlbogen!$B$6,F!$A$2:$C$22,3,0),"Sp"),"",AL19),AL19))</f>
        <v/>
      </c>
      <c r="AT19" s="62" t="str">
        <f>IF(AM19="","",IF(OR(AM19="Fr",AM19="La",AM19="Sn"),IF(AM19&lt;&gt;IFERROR(VLOOKUP(Wahlbogen!$B$6,F!$A$2:$C$22,3,0),"Sp"),"",AM19),AM19))</f>
        <v/>
      </c>
      <c r="AU19" s="62" t="str">
        <f>IF(AN19="","",IF(OR(AN19="Fr",AN19="La",AN19="Sn"),IF(AN19&lt;&gt;IFERROR(VLOOKUP(Wahlbogen!$B$6,F!$A$2:$C$22,3,0),"Sp"),"",AN19),AN19))</f>
        <v/>
      </c>
      <c r="AV19" s="62" t="str">
        <f>IF(AO19="","",IF(OR(AO19="Fr",AO19="La",AO19="Sn"),IF(AO19&lt;&gt;IFERROR(VLOOKUP(Wahlbogen!$B$6,F!$A$2:$C$22,3,0),"Sp"),"",AO19),AO19))</f>
        <v/>
      </c>
      <c r="AX19" s="62" t="str">
        <f t="shared" si="11"/>
        <v/>
      </c>
      <c r="AY19" s="62" t="str">
        <f t="shared" ref="AY19:AY20" si="15">IFERROR(VLOOKUP(AT19,$C$2:$H$22,6,0),"")</f>
        <v/>
      </c>
      <c r="AZ19" s="62" t="str">
        <f t="shared" ref="AZ19:AZ20" si="16">IFERROR(VLOOKUP(AU19,$C$2:$H$22,6,0),"")</f>
        <v/>
      </c>
      <c r="BA19" s="62" t="str">
        <f t="shared" ref="BA19:BA20" si="17">IFERROR(VLOOKUP(AV19,$C$2:$H$22,6,0),"")</f>
        <v/>
      </c>
      <c r="BC19" s="62" t="str">
        <f t="shared" si="12"/>
        <v/>
      </c>
      <c r="BD19" s="62" t="str">
        <f t="shared" ref="BD19:BD20" si="18">IFERROR(RANK(AY19,AY$3:AY$20,1),"")</f>
        <v/>
      </c>
      <c r="BE19" s="62" t="str">
        <f t="shared" ref="BE19:BE20" si="19">IFERROR(RANK(AZ19,AZ$3:AZ$20,1),"")</f>
        <v/>
      </c>
      <c r="BF19" s="62" t="str">
        <f t="shared" ref="BF19:BF20" si="20">IFERROR(RANK(BA19,BA$3:BA$20,1),"")</f>
        <v/>
      </c>
      <c r="BH19" s="62" t="str">
        <f t="shared" si="13"/>
        <v/>
      </c>
      <c r="BI19" s="62" t="str">
        <f t="shared" ref="BI19:BI20" si="21">AT19</f>
        <v/>
      </c>
      <c r="BJ19" s="62" t="str">
        <f t="shared" ref="BJ19:BJ20" si="22">AU19</f>
        <v/>
      </c>
      <c r="BK19" s="62" t="str">
        <f t="shared" ref="BK19:BK20" si="23">AV19</f>
        <v/>
      </c>
      <c r="BM19" s="62" t="str">
        <f t="shared" si="14"/>
        <v/>
      </c>
      <c r="BN19" s="62" t="str">
        <f t="shared" ref="BN19:BN20" si="24">IFERROR(VLOOKUP($AQ19,BD$3:BI$20,6,0),"")</f>
        <v/>
      </c>
      <c r="BO19" s="62" t="str">
        <f t="shared" ref="BO19:BO20" si="25">IFERROR(VLOOKUP($AQ19,BE$3:BJ$20,6,0),"")</f>
        <v/>
      </c>
      <c r="BP19" s="62" t="str">
        <f t="shared" ref="BP19:BP20" si="26">IFERROR(VLOOKUP($AQ19,BF$3:BK$20,6,0),"")</f>
        <v/>
      </c>
    </row>
    <row r="20" spans="1:68" x14ac:dyDescent="0.25">
      <c r="A20" s="13" t="s">
        <v>14</v>
      </c>
      <c r="B20" s="14" t="s">
        <v>39</v>
      </c>
      <c r="C20" s="14" t="s">
        <v>52</v>
      </c>
      <c r="D20" s="14" t="s">
        <v>77</v>
      </c>
      <c r="E20" s="14" t="s">
        <v>52</v>
      </c>
      <c r="F20" s="14" t="s">
        <v>39</v>
      </c>
      <c r="G20" s="13" t="s">
        <v>14</v>
      </c>
      <c r="H20" s="61">
        <v>19</v>
      </c>
      <c r="K20" s="22">
        <v>37</v>
      </c>
      <c r="L20" s="1"/>
      <c r="M20" s="24" t="s">
        <v>108</v>
      </c>
      <c r="Q20" s="12"/>
      <c r="R20" s="63">
        <f t="shared" si="7"/>
        <v>0</v>
      </c>
      <c r="S20" s="63">
        <f t="shared" si="8"/>
        <v>0</v>
      </c>
      <c r="T20" s="63">
        <f t="shared" si="9"/>
        <v>0</v>
      </c>
      <c r="U20" s="63">
        <f t="shared" si="10"/>
        <v>0</v>
      </c>
      <c r="W20" s="11"/>
      <c r="X20" s="11"/>
      <c r="Y20" s="11"/>
      <c r="AL20" s="14" t="s">
        <v>19</v>
      </c>
      <c r="AM20" s="14" t="s">
        <v>19</v>
      </c>
      <c r="AN20" s="14" t="s">
        <v>19</v>
      </c>
      <c r="AO20" s="14" t="s">
        <v>19</v>
      </c>
      <c r="AQ20" s="60">
        <v>18</v>
      </c>
      <c r="AS20" s="62" t="str">
        <f>IF(AL20="","",IF(OR(AL20="Fr",AL20="La",AL20="Sn"),IF(AL20&lt;&gt;IFERROR(VLOOKUP(Wahlbogen!$B$6,F!$A$2:$C$22,3,0),"Sp"),"",AL20),AL20))</f>
        <v/>
      </c>
      <c r="AT20" s="62" t="str">
        <f>IF(AM20="","",IF(OR(AM20="Fr",AM20="La",AM20="Sn"),IF(AM20&lt;&gt;IFERROR(VLOOKUP(Wahlbogen!$B$6,F!$A$2:$C$22,3,0),"Sp"),"",AM20),AM20))</f>
        <v/>
      </c>
      <c r="AU20" s="62" t="str">
        <f>IF(AN20="","",IF(OR(AN20="Fr",AN20="La",AN20="Sn"),IF(AN20&lt;&gt;IFERROR(VLOOKUP(Wahlbogen!$B$6,F!$A$2:$C$22,3,0),"Sp"),"",AN20),AN20))</f>
        <v/>
      </c>
      <c r="AV20" s="62" t="str">
        <f>IF(AO20="","",IF(OR(AO20="Fr",AO20="La",AO20="Sn"),IF(AO20&lt;&gt;IFERROR(VLOOKUP(Wahlbogen!$B$6,F!$A$2:$C$22,3,0),"Sp"),"",AO20),AO20))</f>
        <v/>
      </c>
      <c r="AX20" s="62" t="str">
        <f t="shared" si="11"/>
        <v/>
      </c>
      <c r="AY20" s="62" t="str">
        <f t="shared" si="15"/>
        <v/>
      </c>
      <c r="AZ20" s="62" t="str">
        <f t="shared" si="16"/>
        <v/>
      </c>
      <c r="BA20" s="62" t="str">
        <f t="shared" si="17"/>
        <v/>
      </c>
      <c r="BC20" s="62" t="str">
        <f t="shared" si="12"/>
        <v/>
      </c>
      <c r="BD20" s="62" t="str">
        <f t="shared" si="18"/>
        <v/>
      </c>
      <c r="BE20" s="62" t="str">
        <f t="shared" si="19"/>
        <v/>
      </c>
      <c r="BF20" s="62" t="str">
        <f t="shared" si="20"/>
        <v/>
      </c>
      <c r="BH20" s="62" t="str">
        <f t="shared" si="13"/>
        <v/>
      </c>
      <c r="BI20" s="62" t="str">
        <f t="shared" si="21"/>
        <v/>
      </c>
      <c r="BJ20" s="62" t="str">
        <f t="shared" si="22"/>
        <v/>
      </c>
      <c r="BK20" s="62" t="str">
        <f t="shared" si="23"/>
        <v/>
      </c>
      <c r="BM20" s="62" t="str">
        <f t="shared" si="14"/>
        <v/>
      </c>
      <c r="BN20" s="62" t="str">
        <f t="shared" si="24"/>
        <v/>
      </c>
      <c r="BO20" s="62" t="str">
        <f t="shared" si="25"/>
        <v/>
      </c>
      <c r="BP20" s="62" t="str">
        <f t="shared" si="26"/>
        <v/>
      </c>
    </row>
    <row r="21" spans="1:68" x14ac:dyDescent="0.25">
      <c r="A21" s="13" t="s">
        <v>61</v>
      </c>
      <c r="B21" s="14" t="s">
        <v>35</v>
      </c>
      <c r="C21" s="14" t="s">
        <v>63</v>
      </c>
      <c r="D21" s="14" t="s">
        <v>88</v>
      </c>
      <c r="E21" s="14" t="s">
        <v>63</v>
      </c>
      <c r="F21" s="14" t="s">
        <v>35</v>
      </c>
      <c r="G21" s="13" t="s">
        <v>61</v>
      </c>
      <c r="H21" s="61">
        <v>20</v>
      </c>
      <c r="K21" s="22">
        <v>37</v>
      </c>
      <c r="L21" s="1"/>
      <c r="M21" s="25">
        <v>32</v>
      </c>
      <c r="Q21" s="12"/>
      <c r="W21" s="11"/>
      <c r="X21" s="11"/>
      <c r="Y21" s="11"/>
      <c r="AL21" t="s">
        <v>19</v>
      </c>
      <c r="AM21" t="s">
        <v>19</v>
      </c>
      <c r="AN21" t="s">
        <v>19</v>
      </c>
      <c r="AO21" t="s">
        <v>19</v>
      </c>
    </row>
    <row r="22" spans="1:68" x14ac:dyDescent="0.25">
      <c r="A22" s="13" t="s">
        <v>62</v>
      </c>
      <c r="B22" s="14" t="s">
        <v>64</v>
      </c>
      <c r="C22" s="14" t="s">
        <v>65</v>
      </c>
      <c r="D22" s="14" t="s">
        <v>89</v>
      </c>
      <c r="E22" s="14" t="s">
        <v>65</v>
      </c>
      <c r="F22" s="14" t="s">
        <v>64</v>
      </c>
      <c r="G22" s="13" t="s">
        <v>62</v>
      </c>
      <c r="H22" s="61">
        <v>21</v>
      </c>
      <c r="K22" s="26">
        <v>35</v>
      </c>
      <c r="L22" s="27"/>
      <c r="M22" s="28"/>
      <c r="Q22" s="12"/>
      <c r="AL22" t="s">
        <v>19</v>
      </c>
      <c r="AM22" t="s">
        <v>19</v>
      </c>
      <c r="AN22" t="s">
        <v>19</v>
      </c>
      <c r="AO22" t="s">
        <v>19</v>
      </c>
    </row>
    <row r="23" spans="1:68" ht="18.75" x14ac:dyDescent="0.25">
      <c r="Q23" s="12"/>
      <c r="R23" s="10" t="s">
        <v>105</v>
      </c>
      <c r="AL23" s="10" t="s">
        <v>105</v>
      </c>
      <c r="AM23" s="8"/>
      <c r="AN23" s="8"/>
      <c r="AO23" s="8"/>
    </row>
    <row r="24" spans="1:68" x14ac:dyDescent="0.25">
      <c r="Q24" s="12"/>
      <c r="R24" s="15" t="s">
        <v>99</v>
      </c>
      <c r="S24" s="15" t="s">
        <v>100</v>
      </c>
      <c r="T24" s="15" t="s">
        <v>101</v>
      </c>
      <c r="U24" s="15" t="s">
        <v>102</v>
      </c>
      <c r="AL24" s="15" t="s">
        <v>99</v>
      </c>
      <c r="AM24" s="15" t="s">
        <v>100</v>
      </c>
      <c r="AN24" s="15" t="s">
        <v>101</v>
      </c>
      <c r="AO24" s="15" t="s">
        <v>102</v>
      </c>
      <c r="AQ24" t="s">
        <v>237</v>
      </c>
      <c r="AS24" t="s">
        <v>232</v>
      </c>
      <c r="AX24" t="s">
        <v>233</v>
      </c>
      <c r="BC24" t="s">
        <v>234</v>
      </c>
      <c r="BH24" t="s">
        <v>235</v>
      </c>
      <c r="BM24" t="s">
        <v>236</v>
      </c>
    </row>
    <row r="25" spans="1:68" x14ac:dyDescent="0.25">
      <c r="A25" s="13" t="s">
        <v>68</v>
      </c>
      <c r="B25" s="14" t="s">
        <v>90</v>
      </c>
      <c r="Q25" s="12"/>
      <c r="R25" s="63" t="str">
        <f>IFERROR(VLOOKUP(BM25,$E$2:$G$22,3,0),0)</f>
        <v>Deutsch</v>
      </c>
      <c r="S25" s="63" t="str">
        <f t="shared" ref="S25:S43" si="27">IFERROR(VLOOKUP(BN25,$E$2:$G$22,3,0),0)</f>
        <v>Deutsch</v>
      </c>
      <c r="T25" s="63" t="str">
        <f t="shared" ref="T25:T43" si="28">IFERROR(VLOOKUP(BO25,$E$2:$G$22,3,0),0)</f>
        <v>Deutsch</v>
      </c>
      <c r="U25" s="63" t="str">
        <f t="shared" ref="U25:U43" si="29">IFERROR(VLOOKUP(BP25,$E$2:$G$22,3,0),0)</f>
        <v>Mathematik</v>
      </c>
      <c r="W25" s="11"/>
      <c r="X25" s="11"/>
      <c r="Y25" s="11"/>
      <c r="Z25" s="17"/>
      <c r="AA25" s="17">
        <v>1</v>
      </c>
      <c r="AB25" s="17">
        <v>2</v>
      </c>
      <c r="AC25" s="17">
        <v>3</v>
      </c>
      <c r="AD25" s="17">
        <v>4</v>
      </c>
      <c r="AE25" s="17"/>
      <c r="AF25" s="17">
        <v>1</v>
      </c>
      <c r="AG25" s="17">
        <v>2</v>
      </c>
      <c r="AH25" s="17">
        <v>3</v>
      </c>
      <c r="AI25" s="17">
        <v>4</v>
      </c>
      <c r="AL25" s="14" t="s">
        <v>45</v>
      </c>
      <c r="AM25" s="14" t="s">
        <v>45</v>
      </c>
      <c r="AN25" s="14" t="s">
        <v>45</v>
      </c>
      <c r="AO25" s="14" t="s">
        <v>55</v>
      </c>
      <c r="AQ25" s="60">
        <v>1</v>
      </c>
      <c r="AS25" s="62" t="str">
        <f>IF(AL25="","",IF(OR(AL25="Fr",AL25="La",AL25="Sn"),IF(AL25&lt;&gt;IFERROR(VLOOKUP(Wahlbogen!$B$6,F!$A$2:$C$22,3,0),"Sp"),"",AL25),AL25))</f>
        <v>De</v>
      </c>
      <c r="AT25" s="62" t="str">
        <f>IF(AM25="","",IF(OR(AM25="Fr",AM25="La",AM25="Sn"),IF(AM25&lt;&gt;IFERROR(VLOOKUP(Wahlbogen!$B$6,F!$A$2:$C$22,3,0),"Sp"),"",AM25),AM25))</f>
        <v>De</v>
      </c>
      <c r="AU25" s="62" t="str">
        <f>IF(AN25="","",IF(OR(AN25="Fr",AN25="La",AN25="Sn"),IF(AN25&lt;&gt;IFERROR(VLOOKUP(Wahlbogen!$B$6,F!$A$2:$C$22,3,0),"Sp"),"",AN25),AN25))</f>
        <v>De</v>
      </c>
      <c r="AV25" s="62" t="str">
        <f>IF(AO25="","",IF(OR(AO25="Fr",AO25="La",AO25="Sn"),IF(AO25&lt;&gt;IFERROR(VLOOKUP(Wahlbogen!$B$6,F!$A$2:$C$22,3,0),"Sp"),"",AO25),AO25))</f>
        <v>Ma</v>
      </c>
      <c r="AX25" s="62">
        <f>IFERROR(VLOOKUP(AS25,$C$2:$H$22,6,0),"")</f>
        <v>1</v>
      </c>
      <c r="AY25" s="62">
        <f t="shared" ref="AY25" si="30">IFERROR(VLOOKUP(AT25,$C$2:$H$22,6,0),"")</f>
        <v>1</v>
      </c>
      <c r="AZ25" s="62">
        <f t="shared" ref="AZ25" si="31">IFERROR(VLOOKUP(AU25,$C$2:$H$22,6,0),"")</f>
        <v>1</v>
      </c>
      <c r="BA25" s="62">
        <f t="shared" ref="BA25" si="32">IFERROR(VLOOKUP(AV25,$C$2:$H$22,6,0),"")</f>
        <v>15</v>
      </c>
      <c r="BC25" s="62">
        <f>IFERROR(RANK(AX25,AX$25:AX$43,1),"")</f>
        <v>1</v>
      </c>
      <c r="BD25" s="62">
        <f t="shared" ref="BD25:BF25" si="33">IFERROR(RANK(AY25,AY$25:AY$43,1),"")</f>
        <v>1</v>
      </c>
      <c r="BE25" s="62">
        <f t="shared" si="33"/>
        <v>1</v>
      </c>
      <c r="BF25" s="62">
        <f t="shared" si="33"/>
        <v>1</v>
      </c>
      <c r="BH25" s="62" t="str">
        <f>AS25</f>
        <v>De</v>
      </c>
      <c r="BI25" s="62" t="str">
        <f t="shared" ref="BI25" si="34">AT25</f>
        <v>De</v>
      </c>
      <c r="BJ25" s="62" t="str">
        <f t="shared" ref="BJ25" si="35">AU25</f>
        <v>De</v>
      </c>
      <c r="BK25" s="62" t="str">
        <f t="shared" ref="BK25" si="36">AV25</f>
        <v>Ma</v>
      </c>
      <c r="BM25" s="62" t="str">
        <f>IFERROR(VLOOKUP($AQ25,BC$25:BH$43,6,0),"")</f>
        <v>De</v>
      </c>
      <c r="BN25" s="62" t="str">
        <f>IFERROR(VLOOKUP($AQ25,BD$25:BI$43,6,0),"")</f>
        <v>De</v>
      </c>
      <c r="BO25" s="62" t="str">
        <f>IFERROR(VLOOKUP($AQ25,BE$25:BJ$43,6,0),"")</f>
        <v>De</v>
      </c>
      <c r="BP25" s="62" t="str">
        <f>IFERROR(VLOOKUP($AQ25,BF$25:BK$43,6,0),"")</f>
        <v>Ma</v>
      </c>
    </row>
    <row r="26" spans="1:68" x14ac:dyDescent="0.25">
      <c r="A26" s="13" t="s">
        <v>69</v>
      </c>
      <c r="B26" s="14"/>
      <c r="Q26" s="12"/>
      <c r="R26" s="63" t="str">
        <f t="shared" ref="R26:R43" si="37">IFERROR(VLOOKUP(BM26,$E$2:$G$22,3,0),0)</f>
        <v>Englisch</v>
      </c>
      <c r="S26" s="63" t="str">
        <f t="shared" si="27"/>
        <v>Mathematik</v>
      </c>
      <c r="T26" s="63" t="str">
        <f t="shared" si="28"/>
        <v>Englisch</v>
      </c>
      <c r="U26" s="63" t="str">
        <f t="shared" si="29"/>
        <v>Biologie</v>
      </c>
      <c r="W26" s="11"/>
      <c r="X26" s="11"/>
      <c r="Y26" s="11"/>
      <c r="Z26" s="17"/>
      <c r="AA26" s="17" t="s">
        <v>119</v>
      </c>
      <c r="AB26" s="17" t="s">
        <v>120</v>
      </c>
      <c r="AC26" s="17" t="s">
        <v>121</v>
      </c>
      <c r="AD26" s="17" t="s">
        <v>122</v>
      </c>
      <c r="AE26" s="17"/>
      <c r="AF26" s="17" t="s">
        <v>119</v>
      </c>
      <c r="AG26" s="17" t="s">
        <v>120</v>
      </c>
      <c r="AH26" s="17" t="s">
        <v>121</v>
      </c>
      <c r="AI26" s="17" t="s">
        <v>122</v>
      </c>
      <c r="AL26" s="14" t="s">
        <v>46</v>
      </c>
      <c r="AM26" s="14"/>
      <c r="AN26" s="14" t="s">
        <v>46</v>
      </c>
      <c r="AO26" s="14"/>
      <c r="AQ26" s="60">
        <v>2</v>
      </c>
      <c r="AS26" s="62" t="str">
        <f>IF(AL26="","",IF(OR(AL26="Fr",AL26="La",AL26="Sn"),IF(AL26&lt;&gt;IFERROR(VLOOKUP(Wahlbogen!$B$6,F!$A$2:$C$22,3,0),"Sp"),"",AL26),AL26))</f>
        <v>En</v>
      </c>
      <c r="AT26" s="62" t="str">
        <f>IF(AM26="","",IF(OR(AM26="Fr",AM26="La",AM26="Sn"),IF(AM26&lt;&gt;IFERROR(VLOOKUP(Wahlbogen!$B$6,F!$A$2:$C$22,3,0),"Sp"),"",AM26),AM26))</f>
        <v/>
      </c>
      <c r="AU26" s="62" t="str">
        <f>IF(AN26="","",IF(OR(AN26="Fr",AN26="La",AN26="Sn"),IF(AN26&lt;&gt;IFERROR(VLOOKUP(Wahlbogen!$B$6,F!$A$2:$C$22,3,0),"Sp"),"",AN26),AN26))</f>
        <v>En</v>
      </c>
      <c r="AV26" s="62" t="str">
        <f>IF(AO26="","",IF(OR(AO26="Fr",AO26="La",AO26="Sn"),IF(AO26&lt;&gt;IFERROR(VLOOKUP(Wahlbogen!$B$6,F!$A$2:$C$22,3,0),"Sp"),"",AO26),AO26))</f>
        <v/>
      </c>
      <c r="AX26" s="62">
        <f t="shared" ref="AX26:AX43" si="38">IFERROR(VLOOKUP(AS26,$C$2:$H$22,6,0),"")</f>
        <v>2</v>
      </c>
      <c r="AY26" s="62" t="str">
        <f t="shared" ref="AY26:AY43" si="39">IFERROR(VLOOKUP(AT26,$C$2:$H$22,6,0),"")</f>
        <v/>
      </c>
      <c r="AZ26" s="62">
        <f t="shared" ref="AZ26:AZ43" si="40">IFERROR(VLOOKUP(AU26,$C$2:$H$22,6,0),"")</f>
        <v>2</v>
      </c>
      <c r="BA26" s="62" t="str">
        <f t="shared" ref="BA26:BA43" si="41">IFERROR(VLOOKUP(AV26,$C$2:$H$22,6,0),"")</f>
        <v/>
      </c>
      <c r="BC26" s="62">
        <f t="shared" ref="BC26:BC43" si="42">IFERROR(RANK(AX26,AX$25:AX$43,1),"")</f>
        <v>2</v>
      </c>
      <c r="BD26" s="62" t="str">
        <f t="shared" ref="BD26:BD43" si="43">IFERROR(RANK(AY26,AY$25:AY$43,1),"")</f>
        <v/>
      </c>
      <c r="BE26" s="62">
        <f t="shared" ref="BE26:BE43" si="44">IFERROR(RANK(AZ26,AZ$25:AZ$43,1),"")</f>
        <v>2</v>
      </c>
      <c r="BF26" s="62" t="str">
        <f t="shared" ref="BF26:BF43" si="45">IFERROR(RANK(BA26,BA$25:BA$43,1),"")</f>
        <v/>
      </c>
      <c r="BH26" s="62" t="str">
        <f t="shared" ref="BH26:BH43" si="46">AS26</f>
        <v>En</v>
      </c>
      <c r="BI26" s="62" t="str">
        <f t="shared" ref="BI26:BI43" si="47">AT26</f>
        <v/>
      </c>
      <c r="BJ26" s="62" t="str">
        <f t="shared" ref="BJ26:BJ43" si="48">AU26</f>
        <v>En</v>
      </c>
      <c r="BK26" s="62" t="str">
        <f t="shared" ref="BK26:BK43" si="49">AV26</f>
        <v/>
      </c>
      <c r="BM26" s="62" t="str">
        <f t="shared" ref="BM26:BM43" si="50">IFERROR(VLOOKUP($AQ26,BC$25:BH$43,6,0),"")</f>
        <v>En</v>
      </c>
      <c r="BN26" s="62" t="str">
        <f t="shared" ref="BN26:BN43" si="51">IFERROR(VLOOKUP($AQ26,BD$25:BI$43,6,0),"")</f>
        <v>Ma</v>
      </c>
      <c r="BO26" s="62" t="str">
        <f t="shared" ref="BO26:BO43" si="52">IFERROR(VLOOKUP($AQ26,BE$25:BJ$43,6,0),"")</f>
        <v>En</v>
      </c>
      <c r="BP26" s="62" t="str">
        <f t="shared" ref="BP26:BP43" si="53">IFERROR(VLOOKUP($AQ26,BF$25:BK$43,6,0),"")</f>
        <v>Bi</v>
      </c>
    </row>
    <row r="27" spans="1:68" x14ac:dyDescent="0.25">
      <c r="Q27" s="12"/>
      <c r="R27" s="63">
        <f t="shared" si="37"/>
        <v>0</v>
      </c>
      <c r="S27" s="63">
        <f t="shared" si="27"/>
        <v>0</v>
      </c>
      <c r="T27" s="63" t="str">
        <f t="shared" si="28"/>
        <v>Mathematik</v>
      </c>
      <c r="U27" s="63" t="str">
        <f t="shared" si="29"/>
        <v>Chemie</v>
      </c>
      <c r="W27" s="11"/>
      <c r="X27" s="11"/>
      <c r="Y27" s="11"/>
      <c r="Z27" s="17" t="s">
        <v>114</v>
      </c>
      <c r="AA27" s="17">
        <f>ROW()-2</f>
        <v>25</v>
      </c>
      <c r="AB27" s="17">
        <f>AA27</f>
        <v>25</v>
      </c>
      <c r="AC27" s="17">
        <f>AB27</f>
        <v>25</v>
      </c>
      <c r="AD27" s="17">
        <f>AC27</f>
        <v>25</v>
      </c>
      <c r="AE27" s="17" t="s">
        <v>114</v>
      </c>
      <c r="AF27" s="17">
        <f>MATCH("",R24:R43,-1)+ROW()-4</f>
        <v>26</v>
      </c>
      <c r="AG27" s="17">
        <f>MATCH("",S24:S43,-1)+ROW()-4</f>
        <v>26</v>
      </c>
      <c r="AH27" s="17">
        <f>MATCH("",T24:T43,-1)+ROW()-4</f>
        <v>30</v>
      </c>
      <c r="AI27" s="17">
        <f>MATCH("",U24:U43,-1)+ROW()-4</f>
        <v>29</v>
      </c>
      <c r="AL27" s="14" t="s">
        <v>49</v>
      </c>
      <c r="AM27" s="14" t="s">
        <v>55</v>
      </c>
      <c r="AN27" s="14" t="s">
        <v>49</v>
      </c>
      <c r="AO27" s="14" t="s">
        <v>42</v>
      </c>
      <c r="AQ27" s="60">
        <v>3</v>
      </c>
      <c r="AS27" s="62" t="str">
        <f>IF(AL27="","",IF(OR(AL27="Fr",AL27="La",AL27="Sn"),IF(AL27&lt;&gt;IFERROR(VLOOKUP(Wahlbogen!$B$6,F!$A$2:$C$22,3,0),"Sp"),"",AL27),AL27))</f>
        <v/>
      </c>
      <c r="AT27" s="62" t="str">
        <f>IF(AM27="","",IF(OR(AM27="Fr",AM27="La",AM27="Sn"),IF(AM27&lt;&gt;IFERROR(VLOOKUP(Wahlbogen!$B$6,F!$A$2:$C$22,3,0),"Sp"),"",AM27),AM27))</f>
        <v>Ma</v>
      </c>
      <c r="AU27" s="62" t="str">
        <f>IF(AN27="","",IF(OR(AN27="Fr",AN27="La",AN27="Sn"),IF(AN27&lt;&gt;IFERROR(VLOOKUP(Wahlbogen!$B$6,F!$A$2:$C$22,3,0),"Sp"),"",AN27),AN27))</f>
        <v/>
      </c>
      <c r="AV27" s="62" t="str">
        <f>IF(AO27="","",IF(OR(AO27="Fr",AO27="La",AO27="Sn"),IF(AO27&lt;&gt;IFERROR(VLOOKUP(Wahlbogen!$B$6,F!$A$2:$C$22,3,0),"Sp"),"",AO27),AO27))</f>
        <v>Bi</v>
      </c>
      <c r="AX27" s="62" t="str">
        <f t="shared" si="38"/>
        <v/>
      </c>
      <c r="AY27" s="62">
        <f t="shared" si="39"/>
        <v>15</v>
      </c>
      <c r="AZ27" s="62" t="str">
        <f t="shared" si="40"/>
        <v/>
      </c>
      <c r="BA27" s="62">
        <f t="shared" si="41"/>
        <v>16</v>
      </c>
      <c r="BC27" s="62" t="str">
        <f t="shared" si="42"/>
        <v/>
      </c>
      <c r="BD27" s="62">
        <f t="shared" si="43"/>
        <v>2</v>
      </c>
      <c r="BE27" s="62" t="str">
        <f t="shared" si="44"/>
        <v/>
      </c>
      <c r="BF27" s="62">
        <f t="shared" si="45"/>
        <v>2</v>
      </c>
      <c r="BH27" s="62" t="str">
        <f t="shared" si="46"/>
        <v/>
      </c>
      <c r="BI27" s="62" t="str">
        <f t="shared" si="47"/>
        <v>Ma</v>
      </c>
      <c r="BJ27" s="62" t="str">
        <f t="shared" si="48"/>
        <v/>
      </c>
      <c r="BK27" s="62" t="str">
        <f t="shared" si="49"/>
        <v>Bi</v>
      </c>
      <c r="BM27" s="62" t="str">
        <f t="shared" si="50"/>
        <v/>
      </c>
      <c r="BN27" s="62" t="str">
        <f t="shared" si="51"/>
        <v/>
      </c>
      <c r="BO27" s="62" t="str">
        <f t="shared" si="52"/>
        <v>Ma</v>
      </c>
      <c r="BP27" s="62" t="str">
        <f t="shared" si="53"/>
        <v>Ch</v>
      </c>
    </row>
    <row r="28" spans="1:68" x14ac:dyDescent="0.25">
      <c r="G28" s="29"/>
      <c r="J28" s="29"/>
      <c r="L28" s="14">
        <v>1</v>
      </c>
      <c r="M28" s="14" t="s">
        <v>110</v>
      </c>
      <c r="N28" s="1"/>
      <c r="O28" s="1"/>
      <c r="P28" s="1"/>
      <c r="Q28" s="12"/>
      <c r="R28" s="63">
        <f t="shared" si="37"/>
        <v>0</v>
      </c>
      <c r="S28" s="63">
        <f t="shared" si="27"/>
        <v>0</v>
      </c>
      <c r="T28" s="63" t="str">
        <f t="shared" si="28"/>
        <v>Biologie</v>
      </c>
      <c r="U28" s="63" t="str">
        <f t="shared" si="29"/>
        <v>Physik</v>
      </c>
      <c r="W28" s="11"/>
      <c r="X28" s="11"/>
      <c r="Y28" s="11"/>
      <c r="AL28" s="14" t="s">
        <v>54</v>
      </c>
      <c r="AM28" s="14" t="s">
        <v>19</v>
      </c>
      <c r="AN28" s="14" t="s">
        <v>54</v>
      </c>
      <c r="AO28" s="14" t="s">
        <v>43</v>
      </c>
      <c r="AQ28" s="60">
        <v>4</v>
      </c>
      <c r="AS28" s="62" t="str">
        <f>IF(AL28="","",IF(OR(AL28="Fr",AL28="La",AL28="Sn"),IF(AL28&lt;&gt;IFERROR(VLOOKUP(Wahlbogen!$B$6,F!$A$2:$C$22,3,0),"Sp"),"",AL28),AL28))</f>
        <v/>
      </c>
      <c r="AT28" s="62" t="str">
        <f>IF(AM28="","",IF(OR(AM28="Fr",AM28="La",AM28="Sn"),IF(AM28&lt;&gt;IFERROR(VLOOKUP(Wahlbogen!$B$6,F!$A$2:$C$22,3,0),"Sp"),"",AM28),AM28))</f>
        <v/>
      </c>
      <c r="AU28" s="62" t="str">
        <f>IF(AN28="","",IF(OR(AN28="Fr",AN28="La",AN28="Sn"),IF(AN28&lt;&gt;IFERROR(VLOOKUP(Wahlbogen!$B$6,F!$A$2:$C$22,3,0),"Sp"),"",AN28),AN28))</f>
        <v/>
      </c>
      <c r="AV28" s="62" t="str">
        <f>IF(AO28="","",IF(OR(AO28="Fr",AO28="La",AO28="Sn"),IF(AO28&lt;&gt;IFERROR(VLOOKUP(Wahlbogen!$B$6,F!$A$2:$C$22,3,0),"Sp"),"",AO28),AO28))</f>
        <v>Ch</v>
      </c>
      <c r="AX28" s="62" t="str">
        <f t="shared" si="38"/>
        <v/>
      </c>
      <c r="AY28" s="62" t="str">
        <f t="shared" si="39"/>
        <v/>
      </c>
      <c r="AZ28" s="62" t="str">
        <f t="shared" si="40"/>
        <v/>
      </c>
      <c r="BA28" s="62">
        <f t="shared" si="41"/>
        <v>17</v>
      </c>
      <c r="BC28" s="62" t="str">
        <f t="shared" si="42"/>
        <v/>
      </c>
      <c r="BD28" s="62" t="str">
        <f t="shared" si="43"/>
        <v/>
      </c>
      <c r="BE28" s="62" t="str">
        <f t="shared" si="44"/>
        <v/>
      </c>
      <c r="BF28" s="62">
        <f t="shared" si="45"/>
        <v>3</v>
      </c>
      <c r="BH28" s="62" t="str">
        <f t="shared" si="46"/>
        <v/>
      </c>
      <c r="BI28" s="62" t="str">
        <f t="shared" si="47"/>
        <v/>
      </c>
      <c r="BJ28" s="62" t="str">
        <f t="shared" si="48"/>
        <v/>
      </c>
      <c r="BK28" s="62" t="str">
        <f t="shared" si="49"/>
        <v>Ch</v>
      </c>
      <c r="BM28" s="62" t="str">
        <f t="shared" si="50"/>
        <v/>
      </c>
      <c r="BN28" s="62" t="str">
        <f t="shared" si="51"/>
        <v/>
      </c>
      <c r="BO28" s="62" t="str">
        <f t="shared" si="52"/>
        <v>Bi</v>
      </c>
      <c r="BP28" s="62" t="str">
        <f t="shared" si="53"/>
        <v>Ph</v>
      </c>
    </row>
    <row r="29" spans="1:68" x14ac:dyDescent="0.25">
      <c r="G29" s="8"/>
      <c r="J29" s="8"/>
      <c r="L29" s="14">
        <v>2</v>
      </c>
      <c r="M29" s="14" t="s">
        <v>109</v>
      </c>
      <c r="N29" s="1"/>
      <c r="O29" s="1"/>
      <c r="P29" s="1"/>
      <c r="Q29" s="12"/>
      <c r="R29" s="63">
        <f t="shared" si="37"/>
        <v>0</v>
      </c>
      <c r="S29" s="63">
        <f t="shared" si="27"/>
        <v>0</v>
      </c>
      <c r="T29" s="63" t="str">
        <f t="shared" si="28"/>
        <v>Chemie</v>
      </c>
      <c r="U29" s="63" t="str">
        <f t="shared" si="29"/>
        <v>Informatik</v>
      </c>
      <c r="W29" s="11"/>
      <c r="X29" s="11"/>
      <c r="Y29" s="11"/>
      <c r="AL29" s="14" t="s">
        <v>59</v>
      </c>
      <c r="AM29" s="14" t="s">
        <v>19</v>
      </c>
      <c r="AN29" s="14" t="s">
        <v>59</v>
      </c>
      <c r="AO29" s="14" t="s">
        <v>57</v>
      </c>
      <c r="AQ29" s="60">
        <v>5</v>
      </c>
      <c r="AS29" s="62" t="str">
        <f>IF(AL29="","",IF(OR(AL29="Fr",AL29="La",AL29="Sn"),IF(AL29&lt;&gt;IFERROR(VLOOKUP(Wahlbogen!$B$6,F!$A$2:$C$22,3,0),"Sp"),"",AL29),AL29))</f>
        <v/>
      </c>
      <c r="AT29" s="62" t="str">
        <f>IF(AM29="","",IF(OR(AM29="Fr",AM29="La",AM29="Sn"),IF(AM29&lt;&gt;IFERROR(VLOOKUP(Wahlbogen!$B$6,F!$A$2:$C$22,3,0),"Sp"),"",AM29),AM29))</f>
        <v/>
      </c>
      <c r="AU29" s="62" t="str">
        <f>IF(AN29="","",IF(OR(AN29="Fr",AN29="La",AN29="Sn"),IF(AN29&lt;&gt;IFERROR(VLOOKUP(Wahlbogen!$B$6,F!$A$2:$C$22,3,0),"Sp"),"",AN29),AN29))</f>
        <v/>
      </c>
      <c r="AV29" s="62" t="str">
        <f>IF(AO29="","",IF(OR(AO29="Fr",AO29="La",AO29="Sn"),IF(AO29&lt;&gt;IFERROR(VLOOKUP(Wahlbogen!$B$6,F!$A$2:$C$22,3,0),"Sp"),"",AO29),AO29))</f>
        <v>Ph</v>
      </c>
      <c r="AX29" s="62" t="str">
        <f t="shared" si="38"/>
        <v/>
      </c>
      <c r="AY29" s="62" t="str">
        <f t="shared" si="39"/>
        <v/>
      </c>
      <c r="AZ29" s="62" t="str">
        <f t="shared" si="40"/>
        <v/>
      </c>
      <c r="BA29" s="62">
        <f t="shared" si="41"/>
        <v>18</v>
      </c>
      <c r="BC29" s="62" t="str">
        <f t="shared" si="42"/>
        <v/>
      </c>
      <c r="BD29" s="62" t="str">
        <f t="shared" si="43"/>
        <v/>
      </c>
      <c r="BE29" s="62" t="str">
        <f t="shared" si="44"/>
        <v/>
      </c>
      <c r="BF29" s="62">
        <f t="shared" si="45"/>
        <v>4</v>
      </c>
      <c r="BH29" s="62" t="str">
        <f t="shared" si="46"/>
        <v/>
      </c>
      <c r="BI29" s="62" t="str">
        <f t="shared" si="47"/>
        <v/>
      </c>
      <c r="BJ29" s="62" t="str">
        <f t="shared" si="48"/>
        <v/>
      </c>
      <c r="BK29" s="62" t="str">
        <f t="shared" si="49"/>
        <v>Ph</v>
      </c>
      <c r="BM29" s="62" t="str">
        <f t="shared" si="50"/>
        <v/>
      </c>
      <c r="BN29" s="62" t="str">
        <f t="shared" si="51"/>
        <v/>
      </c>
      <c r="BO29" s="62" t="str">
        <f t="shared" si="52"/>
        <v>Ch</v>
      </c>
      <c r="BP29" s="62" t="str">
        <f t="shared" si="53"/>
        <v>If</v>
      </c>
    </row>
    <row r="30" spans="1:68" x14ac:dyDescent="0.25">
      <c r="G30" s="8"/>
      <c r="J30" s="8"/>
      <c r="L30" s="14">
        <v>3</v>
      </c>
      <c r="M30" s="14" t="s">
        <v>111</v>
      </c>
      <c r="N30" s="1"/>
      <c r="O30" s="1"/>
      <c r="P30" s="1"/>
      <c r="Q30" s="12"/>
      <c r="R30" s="63">
        <f t="shared" si="37"/>
        <v>0</v>
      </c>
      <c r="S30" s="63">
        <f t="shared" si="27"/>
        <v>0</v>
      </c>
      <c r="T30" s="63" t="str">
        <f t="shared" si="28"/>
        <v>Physik</v>
      </c>
      <c r="U30" s="63">
        <f t="shared" si="29"/>
        <v>0</v>
      </c>
      <c r="W30" s="11"/>
      <c r="X30" s="11"/>
      <c r="Y30" s="11"/>
      <c r="AL30" s="14" t="s">
        <v>19</v>
      </c>
      <c r="AM30" s="14" t="s">
        <v>19</v>
      </c>
      <c r="AN30" s="14"/>
      <c r="AO30" s="14"/>
      <c r="AQ30" s="60">
        <v>6</v>
      </c>
      <c r="AS30" s="62" t="str">
        <f>IF(AL30="","",IF(OR(AL30="Fr",AL30="La",AL30="Sn"),IF(AL30&lt;&gt;IFERROR(VLOOKUP(Wahlbogen!$B$6,F!$A$2:$C$22,3,0),"Sp"),"",AL30),AL30))</f>
        <v/>
      </c>
      <c r="AT30" s="62" t="str">
        <f>IF(AM30="","",IF(OR(AM30="Fr",AM30="La",AM30="Sn"),IF(AM30&lt;&gt;IFERROR(VLOOKUP(Wahlbogen!$B$6,F!$A$2:$C$22,3,0),"Sp"),"",AM30),AM30))</f>
        <v/>
      </c>
      <c r="AU30" s="62" t="str">
        <f>IF(AN30="","",IF(OR(AN30="Fr",AN30="La",AN30="Sn"),IF(AN30&lt;&gt;IFERROR(VLOOKUP(Wahlbogen!$B$6,F!$A$2:$C$22,3,0),"Sp"),"",AN30),AN30))</f>
        <v/>
      </c>
      <c r="AV30" s="62" t="str">
        <f>IF(AO30="","",IF(OR(AO30="Fr",AO30="La",AO30="Sn"),IF(AO30&lt;&gt;IFERROR(VLOOKUP(Wahlbogen!$B$6,F!$A$2:$C$22,3,0),"Sp"),"",AO30),AO30))</f>
        <v/>
      </c>
      <c r="AX30" s="62" t="str">
        <f t="shared" si="38"/>
        <v/>
      </c>
      <c r="AY30" s="62" t="str">
        <f t="shared" si="39"/>
        <v/>
      </c>
      <c r="AZ30" s="62" t="str">
        <f t="shared" si="40"/>
        <v/>
      </c>
      <c r="BA30" s="62" t="str">
        <f t="shared" si="41"/>
        <v/>
      </c>
      <c r="BC30" s="62" t="str">
        <f t="shared" si="42"/>
        <v/>
      </c>
      <c r="BD30" s="62" t="str">
        <f t="shared" si="43"/>
        <v/>
      </c>
      <c r="BE30" s="62" t="str">
        <f t="shared" si="44"/>
        <v/>
      </c>
      <c r="BF30" s="62" t="str">
        <f t="shared" si="45"/>
        <v/>
      </c>
      <c r="BH30" s="62" t="str">
        <f t="shared" si="46"/>
        <v/>
      </c>
      <c r="BI30" s="62" t="str">
        <f t="shared" si="47"/>
        <v/>
      </c>
      <c r="BJ30" s="62" t="str">
        <f t="shared" si="48"/>
        <v/>
      </c>
      <c r="BK30" s="62" t="str">
        <f t="shared" si="49"/>
        <v/>
      </c>
      <c r="BM30" s="62" t="str">
        <f t="shared" si="50"/>
        <v/>
      </c>
      <c r="BN30" s="62" t="str">
        <f t="shared" si="51"/>
        <v/>
      </c>
      <c r="BO30" s="62" t="str">
        <f t="shared" si="52"/>
        <v>Ph</v>
      </c>
      <c r="BP30" s="62" t="str">
        <f t="shared" si="53"/>
        <v/>
      </c>
    </row>
    <row r="31" spans="1:68" x14ac:dyDescent="0.25">
      <c r="G31" s="8"/>
      <c r="J31" s="8"/>
      <c r="L31" s="14">
        <v>4</v>
      </c>
      <c r="M31" s="130" t="s">
        <v>112</v>
      </c>
      <c r="N31" s="1"/>
      <c r="O31" s="1"/>
      <c r="P31" s="1"/>
      <c r="Q31" s="12"/>
      <c r="R31" s="63">
        <f t="shared" si="37"/>
        <v>0</v>
      </c>
      <c r="S31" s="63">
        <f t="shared" si="27"/>
        <v>0</v>
      </c>
      <c r="T31" s="63">
        <f t="shared" si="28"/>
        <v>0</v>
      </c>
      <c r="U31" s="63">
        <f t="shared" si="29"/>
        <v>0</v>
      </c>
      <c r="W31" s="11"/>
      <c r="X31" s="11"/>
      <c r="Y31" s="11"/>
      <c r="AL31" s="14" t="s">
        <v>19</v>
      </c>
      <c r="AM31" s="14" t="s">
        <v>19</v>
      </c>
      <c r="AN31" s="14" t="s">
        <v>55</v>
      </c>
      <c r="AO31" s="14" t="s">
        <v>52</v>
      </c>
      <c r="AQ31" s="60">
        <v>7</v>
      </c>
      <c r="AS31" s="62" t="str">
        <f>IF(AL31="","",IF(OR(AL31="Fr",AL31="La",AL31="Sn"),IF(AL31&lt;&gt;IFERROR(VLOOKUP(Wahlbogen!$B$6,F!$A$2:$C$22,3,0),"Sp"),"",AL31),AL31))</f>
        <v/>
      </c>
      <c r="AT31" s="62" t="str">
        <f>IF(AM31="","",IF(OR(AM31="Fr",AM31="La",AM31="Sn"),IF(AM31&lt;&gt;IFERROR(VLOOKUP(Wahlbogen!$B$6,F!$A$2:$C$22,3,0),"Sp"),"",AM31),AM31))</f>
        <v/>
      </c>
      <c r="AU31" s="62" t="str">
        <f>IF(AN31="","",IF(OR(AN31="Fr",AN31="La",AN31="Sn"),IF(AN31&lt;&gt;IFERROR(VLOOKUP(Wahlbogen!$B$6,F!$A$2:$C$22,3,0),"Sp"),"",AN31),AN31))</f>
        <v>Ma</v>
      </c>
      <c r="AV31" s="62" t="str">
        <f>IF(AO31="","",IF(OR(AO31="Fr",AO31="La",AO31="Sn"),IF(AO31&lt;&gt;IFERROR(VLOOKUP(Wahlbogen!$B$6,F!$A$2:$C$22,3,0),"Sp"),"",AO31),AO31))</f>
        <v>If</v>
      </c>
      <c r="AX31" s="62" t="str">
        <f t="shared" si="38"/>
        <v/>
      </c>
      <c r="AY31" s="62" t="str">
        <f t="shared" si="39"/>
        <v/>
      </c>
      <c r="AZ31" s="62">
        <f t="shared" si="40"/>
        <v>15</v>
      </c>
      <c r="BA31" s="62">
        <f t="shared" si="41"/>
        <v>19</v>
      </c>
      <c r="BC31" s="62" t="str">
        <f t="shared" si="42"/>
        <v/>
      </c>
      <c r="BD31" s="62" t="str">
        <f t="shared" si="43"/>
        <v/>
      </c>
      <c r="BE31" s="62">
        <f t="shared" si="44"/>
        <v>3</v>
      </c>
      <c r="BF31" s="62">
        <f t="shared" si="45"/>
        <v>5</v>
      </c>
      <c r="BH31" s="62" t="str">
        <f t="shared" si="46"/>
        <v/>
      </c>
      <c r="BI31" s="62" t="str">
        <f t="shared" si="47"/>
        <v/>
      </c>
      <c r="BJ31" s="62" t="str">
        <f t="shared" si="48"/>
        <v>Ma</v>
      </c>
      <c r="BK31" s="62" t="str">
        <f t="shared" si="49"/>
        <v>If</v>
      </c>
      <c r="BM31" s="62" t="str">
        <f t="shared" si="50"/>
        <v/>
      </c>
      <c r="BN31" s="62" t="str">
        <f t="shared" si="51"/>
        <v/>
      </c>
      <c r="BO31" s="62" t="str">
        <f t="shared" si="52"/>
        <v/>
      </c>
      <c r="BP31" s="62" t="str">
        <f t="shared" si="53"/>
        <v/>
      </c>
    </row>
    <row r="32" spans="1:68" ht="15.75" thickBot="1" x14ac:dyDescent="0.3">
      <c r="G32" s="8"/>
      <c r="J32" s="8"/>
      <c r="M32" s="131">
        <f>IF(Wahlbogen!I6=1,2,IF(Wahlbogen!J6=1,-1,0))</f>
        <v>2</v>
      </c>
      <c r="N32" s="131">
        <f>IF(M32=2,1,IF(M32=-1,2,4))</f>
        <v>1</v>
      </c>
      <c r="Q32" s="12"/>
      <c r="R32" s="63">
        <f t="shared" si="37"/>
        <v>0</v>
      </c>
      <c r="S32" s="63">
        <f t="shared" si="27"/>
        <v>0</v>
      </c>
      <c r="T32" s="63">
        <f t="shared" si="28"/>
        <v>0</v>
      </c>
      <c r="U32" s="63">
        <f t="shared" si="29"/>
        <v>0</v>
      </c>
      <c r="W32" s="11"/>
      <c r="X32" s="11"/>
      <c r="Y32" s="11"/>
      <c r="AB32" s="18" t="s">
        <v>123</v>
      </c>
      <c r="AL32" s="14" t="s">
        <v>19</v>
      </c>
      <c r="AM32" s="14" t="s">
        <v>19</v>
      </c>
      <c r="AN32" s="14" t="s">
        <v>42</v>
      </c>
      <c r="AO32" s="14" t="s">
        <v>19</v>
      </c>
      <c r="AQ32" s="60">
        <v>8</v>
      </c>
      <c r="AS32" s="62" t="str">
        <f>IF(AL32="","",IF(OR(AL32="Fr",AL32="La",AL32="Sn"),IF(AL32&lt;&gt;IFERROR(VLOOKUP(Wahlbogen!$B$6,F!$A$2:$C$22,3,0),"Sp"),"",AL32),AL32))</f>
        <v/>
      </c>
      <c r="AT32" s="62" t="str">
        <f>IF(AM32="","",IF(OR(AM32="Fr",AM32="La",AM32="Sn"),IF(AM32&lt;&gt;IFERROR(VLOOKUP(Wahlbogen!$B$6,F!$A$2:$C$22,3,0),"Sp"),"",AM32),AM32))</f>
        <v/>
      </c>
      <c r="AU32" s="62" t="str">
        <f>IF(AN32="","",IF(OR(AN32="Fr",AN32="La",AN32="Sn"),IF(AN32&lt;&gt;IFERROR(VLOOKUP(Wahlbogen!$B$6,F!$A$2:$C$22,3,0),"Sp"),"",AN32),AN32))</f>
        <v>Bi</v>
      </c>
      <c r="AV32" s="62" t="str">
        <f>IF(AO32="","",IF(OR(AO32="Fr",AO32="La",AO32="Sn"),IF(AO32&lt;&gt;IFERROR(VLOOKUP(Wahlbogen!$B$6,F!$A$2:$C$22,3,0),"Sp"),"",AO32),AO32))</f>
        <v/>
      </c>
      <c r="AX32" s="62" t="str">
        <f t="shared" si="38"/>
        <v/>
      </c>
      <c r="AY32" s="62" t="str">
        <f t="shared" si="39"/>
        <v/>
      </c>
      <c r="AZ32" s="62">
        <f t="shared" si="40"/>
        <v>16</v>
      </c>
      <c r="BA32" s="62" t="str">
        <f t="shared" si="41"/>
        <v/>
      </c>
      <c r="BC32" s="62" t="str">
        <f t="shared" si="42"/>
        <v/>
      </c>
      <c r="BD32" s="62" t="str">
        <f t="shared" si="43"/>
        <v/>
      </c>
      <c r="BE32" s="62">
        <f t="shared" si="44"/>
        <v>4</v>
      </c>
      <c r="BF32" s="62" t="str">
        <f t="shared" si="45"/>
        <v/>
      </c>
      <c r="BH32" s="62" t="str">
        <f t="shared" si="46"/>
        <v/>
      </c>
      <c r="BI32" s="62" t="str">
        <f t="shared" si="47"/>
        <v/>
      </c>
      <c r="BJ32" s="62" t="str">
        <f t="shared" si="48"/>
        <v>Bi</v>
      </c>
      <c r="BK32" s="62" t="str">
        <f t="shared" si="49"/>
        <v/>
      </c>
      <c r="BM32" s="62" t="str">
        <f t="shared" si="50"/>
        <v/>
      </c>
      <c r="BN32" s="62" t="str">
        <f t="shared" si="51"/>
        <v/>
      </c>
      <c r="BO32" s="62" t="str">
        <f t="shared" si="52"/>
        <v/>
      </c>
      <c r="BP32" s="62" t="str">
        <f t="shared" si="53"/>
        <v/>
      </c>
    </row>
    <row r="33" spans="1:68" ht="15.75" thickBot="1" x14ac:dyDescent="0.3">
      <c r="J33" s="8"/>
      <c r="L33" s="53" t="s">
        <v>157</v>
      </c>
      <c r="M33" s="3" t="s">
        <v>155</v>
      </c>
      <c r="N33" s="50">
        <v>1</v>
      </c>
      <c r="O33" s="129" t="s">
        <v>294</v>
      </c>
      <c r="Q33" s="12"/>
      <c r="R33" s="63">
        <f t="shared" si="37"/>
        <v>0</v>
      </c>
      <c r="S33" s="63">
        <f t="shared" si="27"/>
        <v>0</v>
      </c>
      <c r="T33" s="63">
        <f t="shared" si="28"/>
        <v>0</v>
      </c>
      <c r="U33" s="63">
        <f t="shared" si="29"/>
        <v>0</v>
      </c>
      <c r="W33" s="11"/>
      <c r="X33" s="11"/>
      <c r="Y33" s="11"/>
      <c r="AB33" s="18" t="s">
        <v>124</v>
      </c>
      <c r="AL33" s="14" t="s">
        <v>19</v>
      </c>
      <c r="AM33" s="14" t="s">
        <v>19</v>
      </c>
      <c r="AN33" s="14" t="s">
        <v>43</v>
      </c>
      <c r="AO33" s="14" t="s">
        <v>19</v>
      </c>
      <c r="AQ33" s="60">
        <v>9</v>
      </c>
      <c r="AS33" s="62" t="str">
        <f>IF(AL33="","",IF(OR(AL33="Fr",AL33="La",AL33="Sn"),IF(AL33&lt;&gt;IFERROR(VLOOKUP(Wahlbogen!$B$6,F!$A$2:$C$22,3,0),"Sp"),"",AL33),AL33))</f>
        <v/>
      </c>
      <c r="AT33" s="62" t="str">
        <f>IF(AM33="","",IF(OR(AM33="Fr",AM33="La",AM33="Sn"),IF(AM33&lt;&gt;IFERROR(VLOOKUP(Wahlbogen!$B$6,F!$A$2:$C$22,3,0),"Sp"),"",AM33),AM33))</f>
        <v/>
      </c>
      <c r="AU33" s="62" t="str">
        <f>IF(AN33="","",IF(OR(AN33="Fr",AN33="La",AN33="Sn"),IF(AN33&lt;&gt;IFERROR(VLOOKUP(Wahlbogen!$B$6,F!$A$2:$C$22,3,0),"Sp"),"",AN33),AN33))</f>
        <v>Ch</v>
      </c>
      <c r="AV33" s="62" t="str">
        <f>IF(AO33="","",IF(OR(AO33="Fr",AO33="La",AO33="Sn"),IF(AO33&lt;&gt;IFERROR(VLOOKUP(Wahlbogen!$B$6,F!$A$2:$C$22,3,0),"Sp"),"",AO33),AO33))</f>
        <v/>
      </c>
      <c r="AX33" s="62" t="str">
        <f t="shared" si="38"/>
        <v/>
      </c>
      <c r="AY33" s="62" t="str">
        <f t="shared" si="39"/>
        <v/>
      </c>
      <c r="AZ33" s="62">
        <f t="shared" si="40"/>
        <v>17</v>
      </c>
      <c r="BA33" s="62" t="str">
        <f t="shared" si="41"/>
        <v/>
      </c>
      <c r="BC33" s="62" t="str">
        <f t="shared" si="42"/>
        <v/>
      </c>
      <c r="BD33" s="62" t="str">
        <f t="shared" si="43"/>
        <v/>
      </c>
      <c r="BE33" s="62">
        <f t="shared" si="44"/>
        <v>5</v>
      </c>
      <c r="BF33" s="62" t="str">
        <f t="shared" si="45"/>
        <v/>
      </c>
      <c r="BH33" s="62" t="str">
        <f t="shared" si="46"/>
        <v/>
      </c>
      <c r="BI33" s="62" t="str">
        <f t="shared" si="47"/>
        <v/>
      </c>
      <c r="BJ33" s="62" t="str">
        <f t="shared" si="48"/>
        <v>Ch</v>
      </c>
      <c r="BK33" s="62" t="str">
        <f t="shared" si="49"/>
        <v/>
      </c>
      <c r="BM33" s="62" t="str">
        <f t="shared" si="50"/>
        <v/>
      </c>
      <c r="BN33" s="62" t="str">
        <f t="shared" si="51"/>
        <v/>
      </c>
      <c r="BO33" s="62" t="str">
        <f t="shared" si="52"/>
        <v/>
      </c>
      <c r="BP33" s="62" t="str">
        <f t="shared" si="53"/>
        <v/>
      </c>
    </row>
    <row r="34" spans="1:68" ht="15.75" thickBot="1" x14ac:dyDescent="0.3">
      <c r="G34" s="8"/>
      <c r="L34" s="55" t="s">
        <v>156</v>
      </c>
      <c r="M34" s="5" t="s">
        <v>157</v>
      </c>
      <c r="N34" s="51">
        <v>2</v>
      </c>
      <c r="Q34" s="12"/>
      <c r="R34" s="63">
        <f t="shared" si="37"/>
        <v>0</v>
      </c>
      <c r="S34" s="63">
        <f t="shared" si="27"/>
        <v>0</v>
      </c>
      <c r="T34" s="63">
        <f t="shared" si="28"/>
        <v>0</v>
      </c>
      <c r="U34" s="63">
        <f t="shared" si="29"/>
        <v>0</v>
      </c>
      <c r="W34" s="11"/>
      <c r="X34" s="11"/>
      <c r="Y34" s="11"/>
      <c r="AL34" s="14" t="s">
        <v>19</v>
      </c>
      <c r="AM34" s="14" t="s">
        <v>19</v>
      </c>
      <c r="AN34" s="14" t="s">
        <v>57</v>
      </c>
      <c r="AO34" s="14" t="s">
        <v>19</v>
      </c>
      <c r="AQ34" s="60">
        <v>10</v>
      </c>
      <c r="AS34" s="62" t="str">
        <f>IF(AL34="","",IF(OR(AL34="Fr",AL34="La",AL34="Sn"),IF(AL34&lt;&gt;IFERROR(VLOOKUP(Wahlbogen!$B$6,F!$A$2:$C$22,3,0),"Sp"),"",AL34),AL34))</f>
        <v/>
      </c>
      <c r="AT34" s="62" t="str">
        <f>IF(AM34="","",IF(OR(AM34="Fr",AM34="La",AM34="Sn"),IF(AM34&lt;&gt;IFERROR(VLOOKUP(Wahlbogen!$B$6,F!$A$2:$C$22,3,0),"Sp"),"",AM34),AM34))</f>
        <v/>
      </c>
      <c r="AU34" s="62" t="str">
        <f>IF(AN34="","",IF(OR(AN34="Fr",AN34="La",AN34="Sn"),IF(AN34&lt;&gt;IFERROR(VLOOKUP(Wahlbogen!$B$6,F!$A$2:$C$22,3,0),"Sp"),"",AN34),AN34))</f>
        <v>Ph</v>
      </c>
      <c r="AV34" s="62" t="str">
        <f>IF(AO34="","",IF(OR(AO34="Fr",AO34="La",AO34="Sn"),IF(AO34&lt;&gt;IFERROR(VLOOKUP(Wahlbogen!$B$6,F!$A$2:$C$22,3,0),"Sp"),"",AO34),AO34))</f>
        <v/>
      </c>
      <c r="AX34" s="62" t="str">
        <f t="shared" si="38"/>
        <v/>
      </c>
      <c r="AY34" s="62" t="str">
        <f t="shared" si="39"/>
        <v/>
      </c>
      <c r="AZ34" s="62">
        <f t="shared" si="40"/>
        <v>18</v>
      </c>
      <c r="BA34" s="62" t="str">
        <f t="shared" si="41"/>
        <v/>
      </c>
      <c r="BC34" s="62" t="str">
        <f t="shared" si="42"/>
        <v/>
      </c>
      <c r="BD34" s="62" t="str">
        <f t="shared" si="43"/>
        <v/>
      </c>
      <c r="BE34" s="62">
        <f t="shared" si="44"/>
        <v>6</v>
      </c>
      <c r="BF34" s="62" t="str">
        <f t="shared" si="45"/>
        <v/>
      </c>
      <c r="BH34" s="62" t="str">
        <f t="shared" si="46"/>
        <v/>
      </c>
      <c r="BI34" s="62" t="str">
        <f t="shared" si="47"/>
        <v/>
      </c>
      <c r="BJ34" s="62" t="str">
        <f t="shared" si="48"/>
        <v>Ph</v>
      </c>
      <c r="BK34" s="62" t="str">
        <f t="shared" si="49"/>
        <v/>
      </c>
      <c r="BM34" s="62" t="str">
        <f t="shared" si="50"/>
        <v/>
      </c>
      <c r="BN34" s="62" t="str">
        <f t="shared" si="51"/>
        <v/>
      </c>
      <c r="BO34" s="62" t="str">
        <f t="shared" si="52"/>
        <v/>
      </c>
      <c r="BP34" s="62" t="str">
        <f t="shared" si="53"/>
        <v/>
      </c>
    </row>
    <row r="35" spans="1:68" x14ac:dyDescent="0.25">
      <c r="J35" s="8"/>
      <c r="M35" s="5" t="s">
        <v>158</v>
      </c>
      <c r="N35" s="51">
        <v>3</v>
      </c>
      <c r="Q35" s="12"/>
      <c r="R35" s="63">
        <f t="shared" si="37"/>
        <v>0</v>
      </c>
      <c r="S35" s="63">
        <f t="shared" si="27"/>
        <v>0</v>
      </c>
      <c r="T35" s="63">
        <f t="shared" si="28"/>
        <v>0</v>
      </c>
      <c r="U35" s="63">
        <f t="shared" si="29"/>
        <v>0</v>
      </c>
      <c r="W35" s="11"/>
      <c r="X35" s="11"/>
      <c r="Y35" s="11"/>
      <c r="AL35" s="14" t="s">
        <v>19</v>
      </c>
      <c r="AM35" s="14" t="s">
        <v>19</v>
      </c>
      <c r="AN35" s="14"/>
      <c r="AO35" s="14" t="s">
        <v>19</v>
      </c>
      <c r="AQ35" s="60">
        <v>11</v>
      </c>
      <c r="AS35" s="62" t="str">
        <f>IF(AL35="","",IF(OR(AL35="Fr",AL35="La",AL35="Sn"),IF(AL35&lt;&gt;IFERROR(VLOOKUP(Wahlbogen!$B$6,F!$A$2:$C$22,3,0),"Sp"),"",AL35),AL35))</f>
        <v/>
      </c>
      <c r="AT35" s="62" t="str">
        <f>IF(AM35="","",IF(OR(AM35="Fr",AM35="La",AM35="Sn"),IF(AM35&lt;&gt;IFERROR(VLOOKUP(Wahlbogen!$B$6,F!$A$2:$C$22,3,0),"Sp"),"",AM35),AM35))</f>
        <v/>
      </c>
      <c r="AU35" s="62" t="str">
        <f>IF(AN35="","",IF(OR(AN35="Fr",AN35="La",AN35="Sn"),IF(AN35&lt;&gt;IFERROR(VLOOKUP(Wahlbogen!$B$6,F!$A$2:$C$22,3,0),"Sp"),"",AN35),AN35))</f>
        <v/>
      </c>
      <c r="AV35" s="62" t="str">
        <f>IF(AO35="","",IF(OR(AO35="Fr",AO35="La",AO35="Sn"),IF(AO35&lt;&gt;IFERROR(VLOOKUP(Wahlbogen!$B$6,F!$A$2:$C$22,3,0),"Sp"),"",AO35),AO35))</f>
        <v/>
      </c>
      <c r="AX35" s="62" t="str">
        <f t="shared" si="38"/>
        <v/>
      </c>
      <c r="AY35" s="62" t="str">
        <f t="shared" si="39"/>
        <v/>
      </c>
      <c r="AZ35" s="62" t="str">
        <f t="shared" si="40"/>
        <v/>
      </c>
      <c r="BA35" s="62" t="str">
        <f t="shared" si="41"/>
        <v/>
      </c>
      <c r="BC35" s="62" t="str">
        <f t="shared" si="42"/>
        <v/>
      </c>
      <c r="BD35" s="62" t="str">
        <f t="shared" si="43"/>
        <v/>
      </c>
      <c r="BE35" s="62" t="str">
        <f t="shared" si="44"/>
        <v/>
      </c>
      <c r="BF35" s="62" t="str">
        <f t="shared" si="45"/>
        <v/>
      </c>
      <c r="BH35" s="62" t="str">
        <f t="shared" si="46"/>
        <v/>
      </c>
      <c r="BI35" s="62" t="str">
        <f t="shared" si="47"/>
        <v/>
      </c>
      <c r="BJ35" s="62" t="str">
        <f t="shared" si="48"/>
        <v/>
      </c>
      <c r="BK35" s="62" t="str">
        <f t="shared" si="49"/>
        <v/>
      </c>
      <c r="BM35" s="62" t="str">
        <f t="shared" si="50"/>
        <v/>
      </c>
      <c r="BN35" s="62" t="str">
        <f t="shared" si="51"/>
        <v/>
      </c>
      <c r="BO35" s="62" t="str">
        <f t="shared" si="52"/>
        <v/>
      </c>
      <c r="BP35" s="62" t="str">
        <f t="shared" si="53"/>
        <v/>
      </c>
    </row>
    <row r="36" spans="1:68" ht="15.75" thickBot="1" x14ac:dyDescent="0.3">
      <c r="G36" s="8"/>
      <c r="J36" s="8"/>
      <c r="M36" s="6" t="s">
        <v>156</v>
      </c>
      <c r="N36" s="52">
        <v>4</v>
      </c>
      <c r="Q36" s="12"/>
      <c r="R36" s="63">
        <f t="shared" si="37"/>
        <v>0</v>
      </c>
      <c r="S36" s="63">
        <f t="shared" si="27"/>
        <v>0</v>
      </c>
      <c r="T36" s="63">
        <f t="shared" si="28"/>
        <v>0</v>
      </c>
      <c r="U36" s="63">
        <f t="shared" si="29"/>
        <v>0</v>
      </c>
      <c r="W36" s="11"/>
      <c r="X36" s="11"/>
      <c r="Y36" s="11"/>
      <c r="AL36" s="14" t="s">
        <v>19</v>
      </c>
      <c r="AM36" s="14" t="s">
        <v>19</v>
      </c>
      <c r="AN36" s="14" t="s">
        <v>19</v>
      </c>
      <c r="AO36" s="14" t="s">
        <v>19</v>
      </c>
      <c r="AQ36" s="60">
        <v>12</v>
      </c>
      <c r="AS36" s="62" t="str">
        <f>IF(AL36="","",IF(OR(AL36="Fr",AL36="La",AL36="Sn"),IF(AL36&lt;&gt;IFERROR(VLOOKUP(Wahlbogen!$B$6,F!$A$2:$C$22,3,0),"Sp"),"",AL36),AL36))</f>
        <v/>
      </c>
      <c r="AT36" s="62" t="str">
        <f>IF(AM36="","",IF(OR(AM36="Fr",AM36="La",AM36="Sn"),IF(AM36&lt;&gt;IFERROR(VLOOKUP(Wahlbogen!$B$6,F!$A$2:$C$22,3,0),"Sp"),"",AM36),AM36))</f>
        <v/>
      </c>
      <c r="AU36" s="62" t="str">
        <f>IF(AN36="","",IF(OR(AN36="Fr",AN36="La",AN36="Sn"),IF(AN36&lt;&gt;IFERROR(VLOOKUP(Wahlbogen!$B$6,F!$A$2:$C$22,3,0),"Sp"),"",AN36),AN36))</f>
        <v/>
      </c>
      <c r="AV36" s="62" t="str">
        <f>IF(AO36="","",IF(OR(AO36="Fr",AO36="La",AO36="Sn"),IF(AO36&lt;&gt;IFERROR(VLOOKUP(Wahlbogen!$B$6,F!$A$2:$C$22,3,0),"Sp"),"",AO36),AO36))</f>
        <v/>
      </c>
      <c r="AX36" s="62" t="str">
        <f t="shared" si="38"/>
        <v/>
      </c>
      <c r="AY36" s="62" t="str">
        <f t="shared" si="39"/>
        <v/>
      </c>
      <c r="AZ36" s="62" t="str">
        <f t="shared" si="40"/>
        <v/>
      </c>
      <c r="BA36" s="62" t="str">
        <f t="shared" si="41"/>
        <v/>
      </c>
      <c r="BC36" s="62" t="str">
        <f t="shared" si="42"/>
        <v/>
      </c>
      <c r="BD36" s="62" t="str">
        <f t="shared" si="43"/>
        <v/>
      </c>
      <c r="BE36" s="62" t="str">
        <f t="shared" si="44"/>
        <v/>
      </c>
      <c r="BF36" s="62" t="str">
        <f t="shared" si="45"/>
        <v/>
      </c>
      <c r="BH36" s="62" t="str">
        <f t="shared" si="46"/>
        <v/>
      </c>
      <c r="BI36" s="62" t="str">
        <f t="shared" si="47"/>
        <v/>
      </c>
      <c r="BJ36" s="62" t="str">
        <f t="shared" si="48"/>
        <v/>
      </c>
      <c r="BK36" s="62" t="str">
        <f t="shared" si="49"/>
        <v/>
      </c>
      <c r="BM36" s="62" t="str">
        <f t="shared" si="50"/>
        <v/>
      </c>
      <c r="BN36" s="62" t="str">
        <f t="shared" si="51"/>
        <v/>
      </c>
      <c r="BO36" s="62" t="str">
        <f t="shared" si="52"/>
        <v/>
      </c>
      <c r="BP36" s="62" t="str">
        <f t="shared" si="53"/>
        <v/>
      </c>
    </row>
    <row r="37" spans="1:68" x14ac:dyDescent="0.25">
      <c r="G37" s="8"/>
      <c r="J37" s="8"/>
      <c r="Q37" s="12"/>
      <c r="R37" s="63">
        <f t="shared" si="37"/>
        <v>0</v>
      </c>
      <c r="S37" s="63">
        <f t="shared" si="27"/>
        <v>0</v>
      </c>
      <c r="T37" s="63">
        <f t="shared" si="28"/>
        <v>0</v>
      </c>
      <c r="U37" s="63">
        <f t="shared" si="29"/>
        <v>0</v>
      </c>
      <c r="W37" s="11"/>
      <c r="X37" s="11"/>
      <c r="Y37" s="11"/>
      <c r="AL37" s="14" t="s">
        <v>19</v>
      </c>
      <c r="AM37" s="14" t="s">
        <v>19</v>
      </c>
      <c r="AN37" s="14"/>
      <c r="AO37" s="14" t="s">
        <v>19</v>
      </c>
      <c r="AQ37" s="60">
        <v>13</v>
      </c>
      <c r="AS37" s="62" t="str">
        <f>IF(AL37="","",IF(OR(AL37="Fr",AL37="La",AL37="Sn"),IF(AL37&lt;&gt;IFERROR(VLOOKUP(Wahlbogen!$B$6,F!$A$2:$C$22,3,0),"Sp"),"",AL37),AL37))</f>
        <v/>
      </c>
      <c r="AT37" s="62" t="str">
        <f>IF(AM37="","",IF(OR(AM37="Fr",AM37="La",AM37="Sn"),IF(AM37&lt;&gt;IFERROR(VLOOKUP(Wahlbogen!$B$6,F!$A$2:$C$22,3,0),"Sp"),"",AM37),AM37))</f>
        <v/>
      </c>
      <c r="AU37" s="62" t="str">
        <f>IF(AN37="","",IF(OR(AN37="Fr",AN37="La",AN37="Sn"),IF(AN37&lt;&gt;IFERROR(VLOOKUP(Wahlbogen!$B$6,F!$A$2:$C$22,3,0),"Sp"),"",AN37),AN37))</f>
        <v/>
      </c>
      <c r="AV37" s="62" t="str">
        <f>IF(AO37="","",IF(OR(AO37="Fr",AO37="La",AO37="Sn"),IF(AO37&lt;&gt;IFERROR(VLOOKUP(Wahlbogen!$B$6,F!$A$2:$C$22,3,0),"Sp"),"",AO37),AO37))</f>
        <v/>
      </c>
      <c r="AX37" s="62" t="str">
        <f t="shared" si="38"/>
        <v/>
      </c>
      <c r="AY37" s="62" t="str">
        <f t="shared" si="39"/>
        <v/>
      </c>
      <c r="AZ37" s="62" t="str">
        <f t="shared" si="40"/>
        <v/>
      </c>
      <c r="BA37" s="62" t="str">
        <f t="shared" si="41"/>
        <v/>
      </c>
      <c r="BC37" s="62" t="str">
        <f t="shared" si="42"/>
        <v/>
      </c>
      <c r="BD37" s="62" t="str">
        <f t="shared" si="43"/>
        <v/>
      </c>
      <c r="BE37" s="62" t="str">
        <f t="shared" si="44"/>
        <v/>
      </c>
      <c r="BF37" s="62" t="str">
        <f t="shared" si="45"/>
        <v/>
      </c>
      <c r="BH37" s="62" t="str">
        <f t="shared" si="46"/>
        <v/>
      </c>
      <c r="BI37" s="62" t="str">
        <f t="shared" si="47"/>
        <v/>
      </c>
      <c r="BJ37" s="62" t="str">
        <f t="shared" si="48"/>
        <v/>
      </c>
      <c r="BK37" s="62" t="str">
        <f t="shared" si="49"/>
        <v/>
      </c>
      <c r="BM37" s="62" t="str">
        <f t="shared" si="50"/>
        <v/>
      </c>
      <c r="BN37" s="62" t="str">
        <f t="shared" si="51"/>
        <v/>
      </c>
      <c r="BO37" s="62" t="str">
        <f t="shared" si="52"/>
        <v/>
      </c>
      <c r="BP37" s="62" t="str">
        <f t="shared" si="53"/>
        <v/>
      </c>
    </row>
    <row r="38" spans="1:68" x14ac:dyDescent="0.25">
      <c r="Q38" s="12"/>
      <c r="R38" s="63">
        <f t="shared" si="37"/>
        <v>0</v>
      </c>
      <c r="S38" s="63">
        <f t="shared" si="27"/>
        <v>0</v>
      </c>
      <c r="T38" s="63">
        <f t="shared" si="28"/>
        <v>0</v>
      </c>
      <c r="U38" s="63">
        <f t="shared" si="29"/>
        <v>0</v>
      </c>
      <c r="W38" s="11"/>
      <c r="X38" s="11"/>
      <c r="Y38" s="11"/>
      <c r="AL38" s="14" t="s">
        <v>19</v>
      </c>
      <c r="AM38" s="14" t="s">
        <v>19</v>
      </c>
      <c r="AN38" s="14"/>
      <c r="AO38" s="14" t="s">
        <v>19</v>
      </c>
      <c r="AQ38" s="60">
        <v>14</v>
      </c>
      <c r="AS38" s="62" t="str">
        <f>IF(AL38="","",IF(OR(AL38="Fr",AL38="La",AL38="Sn"),IF(AL38&lt;&gt;IFERROR(VLOOKUP(Wahlbogen!$B$6,F!$A$2:$C$22,3,0),"Sp"),"",AL38),AL38))</f>
        <v/>
      </c>
      <c r="AT38" s="62" t="str">
        <f>IF(AM38="","",IF(OR(AM38="Fr",AM38="La",AM38="Sn"),IF(AM38&lt;&gt;IFERROR(VLOOKUP(Wahlbogen!$B$6,F!$A$2:$C$22,3,0),"Sp"),"",AM38),AM38))</f>
        <v/>
      </c>
      <c r="AU38" s="62" t="str">
        <f>IF(AN38="","",IF(OR(AN38="Fr",AN38="La",AN38="Sn"),IF(AN38&lt;&gt;IFERROR(VLOOKUP(Wahlbogen!$B$6,F!$A$2:$C$22,3,0),"Sp"),"",AN38),AN38))</f>
        <v/>
      </c>
      <c r="AV38" s="62" t="str">
        <f>IF(AO38="","",IF(OR(AO38="Fr",AO38="La",AO38="Sn"),IF(AO38&lt;&gt;IFERROR(VLOOKUP(Wahlbogen!$B$6,F!$A$2:$C$22,3,0),"Sp"),"",AO38),AO38))</f>
        <v/>
      </c>
      <c r="AX38" s="62" t="str">
        <f t="shared" si="38"/>
        <v/>
      </c>
      <c r="AY38" s="62" t="str">
        <f t="shared" si="39"/>
        <v/>
      </c>
      <c r="AZ38" s="62" t="str">
        <f t="shared" si="40"/>
        <v/>
      </c>
      <c r="BA38" s="62" t="str">
        <f t="shared" si="41"/>
        <v/>
      </c>
      <c r="BC38" s="62" t="str">
        <f t="shared" si="42"/>
        <v/>
      </c>
      <c r="BD38" s="62" t="str">
        <f t="shared" si="43"/>
        <v/>
      </c>
      <c r="BE38" s="62" t="str">
        <f t="shared" si="44"/>
        <v/>
      </c>
      <c r="BF38" s="62" t="str">
        <f t="shared" si="45"/>
        <v/>
      </c>
      <c r="BH38" s="62" t="str">
        <f t="shared" si="46"/>
        <v/>
      </c>
      <c r="BI38" s="62" t="str">
        <f t="shared" si="47"/>
        <v/>
      </c>
      <c r="BJ38" s="62" t="str">
        <f t="shared" si="48"/>
        <v/>
      </c>
      <c r="BK38" s="62" t="str">
        <f t="shared" si="49"/>
        <v/>
      </c>
      <c r="BM38" s="62" t="str">
        <f t="shared" si="50"/>
        <v/>
      </c>
      <c r="BN38" s="62" t="str">
        <f t="shared" si="51"/>
        <v/>
      </c>
      <c r="BO38" s="62" t="str">
        <f t="shared" si="52"/>
        <v/>
      </c>
      <c r="BP38" s="62" t="str">
        <f t="shared" si="53"/>
        <v/>
      </c>
    </row>
    <row r="39" spans="1:68" x14ac:dyDescent="0.25">
      <c r="A39" s="8"/>
      <c r="G39" s="8"/>
      <c r="Q39" s="12"/>
      <c r="R39" s="63">
        <f t="shared" si="37"/>
        <v>0</v>
      </c>
      <c r="S39" s="63">
        <f t="shared" si="27"/>
        <v>0</v>
      </c>
      <c r="T39" s="63">
        <f t="shared" si="28"/>
        <v>0</v>
      </c>
      <c r="U39" s="63">
        <f t="shared" si="29"/>
        <v>0</v>
      </c>
      <c r="W39" s="11"/>
      <c r="X39" s="11"/>
      <c r="Y39" s="11"/>
      <c r="AL39" s="14" t="s">
        <v>19</v>
      </c>
      <c r="AM39" s="14" t="s">
        <v>19</v>
      </c>
      <c r="AN39" s="14"/>
      <c r="AO39" s="14" t="s">
        <v>19</v>
      </c>
      <c r="AQ39" s="60">
        <v>15</v>
      </c>
      <c r="AS39" s="62" t="str">
        <f>IF(AL39="","",IF(OR(AL39="Fr",AL39="La",AL39="Sn"),IF(AL39&lt;&gt;IFERROR(VLOOKUP(Wahlbogen!$B$6,F!$A$2:$C$22,3,0),"Sp"),"",AL39),AL39))</f>
        <v/>
      </c>
      <c r="AT39" s="62" t="str">
        <f>IF(AM39="","",IF(OR(AM39="Fr",AM39="La",AM39="Sn"),IF(AM39&lt;&gt;IFERROR(VLOOKUP(Wahlbogen!$B$6,F!$A$2:$C$22,3,0),"Sp"),"",AM39),AM39))</f>
        <v/>
      </c>
      <c r="AU39" s="62" t="str">
        <f>IF(AN39="","",IF(OR(AN39="Fr",AN39="La",AN39="Sn"),IF(AN39&lt;&gt;IFERROR(VLOOKUP(Wahlbogen!$B$6,F!$A$2:$C$22,3,0),"Sp"),"",AN39),AN39))</f>
        <v/>
      </c>
      <c r="AV39" s="62" t="str">
        <f>IF(AO39="","",IF(OR(AO39="Fr",AO39="La",AO39="Sn"),IF(AO39&lt;&gt;IFERROR(VLOOKUP(Wahlbogen!$B$6,F!$A$2:$C$22,3,0),"Sp"),"",AO39),AO39))</f>
        <v/>
      </c>
      <c r="AX39" s="62" t="str">
        <f t="shared" si="38"/>
        <v/>
      </c>
      <c r="AY39" s="62" t="str">
        <f t="shared" si="39"/>
        <v/>
      </c>
      <c r="AZ39" s="62" t="str">
        <f t="shared" si="40"/>
        <v/>
      </c>
      <c r="BA39" s="62" t="str">
        <f t="shared" si="41"/>
        <v/>
      </c>
      <c r="BC39" s="62" t="str">
        <f t="shared" si="42"/>
        <v/>
      </c>
      <c r="BD39" s="62" t="str">
        <f t="shared" si="43"/>
        <v/>
      </c>
      <c r="BE39" s="62" t="str">
        <f t="shared" si="44"/>
        <v/>
      </c>
      <c r="BF39" s="62" t="str">
        <f t="shared" si="45"/>
        <v/>
      </c>
      <c r="BH39" s="62" t="str">
        <f t="shared" si="46"/>
        <v/>
      </c>
      <c r="BI39" s="62" t="str">
        <f t="shared" si="47"/>
        <v/>
      </c>
      <c r="BJ39" s="62" t="str">
        <f t="shared" si="48"/>
        <v/>
      </c>
      <c r="BK39" s="62" t="str">
        <f t="shared" si="49"/>
        <v/>
      </c>
      <c r="BM39" s="62" t="str">
        <f t="shared" si="50"/>
        <v/>
      </c>
      <c r="BN39" s="62" t="str">
        <f t="shared" si="51"/>
        <v/>
      </c>
      <c r="BO39" s="62" t="str">
        <f t="shared" si="52"/>
        <v/>
      </c>
      <c r="BP39" s="62" t="str">
        <f t="shared" si="53"/>
        <v/>
      </c>
    </row>
    <row r="40" spans="1:68" x14ac:dyDescent="0.25">
      <c r="A40" s="8"/>
      <c r="G40" s="8"/>
      <c r="Q40" s="12"/>
      <c r="R40" s="63">
        <f t="shared" si="37"/>
        <v>0</v>
      </c>
      <c r="S40" s="63">
        <f t="shared" si="27"/>
        <v>0</v>
      </c>
      <c r="T40" s="63">
        <f t="shared" si="28"/>
        <v>0</v>
      </c>
      <c r="U40" s="63">
        <f t="shared" si="29"/>
        <v>0</v>
      </c>
      <c r="W40" s="11"/>
      <c r="X40" s="11"/>
      <c r="Y40" s="11"/>
      <c r="AL40" s="14" t="s">
        <v>19</v>
      </c>
      <c r="AM40" s="14" t="s">
        <v>19</v>
      </c>
      <c r="AN40" s="14"/>
      <c r="AO40" s="14" t="s">
        <v>19</v>
      </c>
      <c r="AQ40" s="60">
        <v>16</v>
      </c>
      <c r="AS40" s="62" t="str">
        <f>IF(AL40="","",IF(OR(AL40="Fr",AL40="La",AL40="Sn"),IF(AL40&lt;&gt;IFERROR(VLOOKUP(Wahlbogen!$B$6,F!$A$2:$C$22,3,0),"Sp"),"",AL40),AL40))</f>
        <v/>
      </c>
      <c r="AT40" s="62" t="str">
        <f>IF(AM40="","",IF(OR(AM40="Fr",AM40="La",AM40="Sn"),IF(AM40&lt;&gt;IFERROR(VLOOKUP(Wahlbogen!$B$6,F!$A$2:$C$22,3,0),"Sp"),"",AM40),AM40))</f>
        <v/>
      </c>
      <c r="AU40" s="62" t="str">
        <f>IF(AN40="","",IF(OR(AN40="Fr",AN40="La",AN40="Sn"),IF(AN40&lt;&gt;IFERROR(VLOOKUP(Wahlbogen!$B$6,F!$A$2:$C$22,3,0),"Sp"),"",AN40),AN40))</f>
        <v/>
      </c>
      <c r="AV40" s="62" t="str">
        <f>IF(AO40="","",IF(OR(AO40="Fr",AO40="La",AO40="Sn"),IF(AO40&lt;&gt;IFERROR(VLOOKUP(Wahlbogen!$B$6,F!$A$2:$C$22,3,0),"Sp"),"",AO40),AO40))</f>
        <v/>
      </c>
      <c r="AX40" s="62" t="str">
        <f t="shared" si="38"/>
        <v/>
      </c>
      <c r="AY40" s="62" t="str">
        <f t="shared" si="39"/>
        <v/>
      </c>
      <c r="AZ40" s="62" t="str">
        <f t="shared" si="40"/>
        <v/>
      </c>
      <c r="BA40" s="62" t="str">
        <f t="shared" si="41"/>
        <v/>
      </c>
      <c r="BC40" s="62" t="str">
        <f t="shared" si="42"/>
        <v/>
      </c>
      <c r="BD40" s="62" t="str">
        <f t="shared" si="43"/>
        <v/>
      </c>
      <c r="BE40" s="62" t="str">
        <f t="shared" si="44"/>
        <v/>
      </c>
      <c r="BF40" s="62" t="str">
        <f t="shared" si="45"/>
        <v/>
      </c>
      <c r="BH40" s="62" t="str">
        <f t="shared" si="46"/>
        <v/>
      </c>
      <c r="BI40" s="62" t="str">
        <f t="shared" si="47"/>
        <v/>
      </c>
      <c r="BJ40" s="62" t="str">
        <f t="shared" si="48"/>
        <v/>
      </c>
      <c r="BK40" s="62" t="str">
        <f t="shared" si="49"/>
        <v/>
      </c>
      <c r="BM40" s="62" t="str">
        <f t="shared" si="50"/>
        <v/>
      </c>
      <c r="BN40" s="62" t="str">
        <f t="shared" si="51"/>
        <v/>
      </c>
      <c r="BO40" s="62" t="str">
        <f t="shared" si="52"/>
        <v/>
      </c>
      <c r="BP40" s="62" t="str">
        <f t="shared" si="53"/>
        <v/>
      </c>
    </row>
    <row r="41" spans="1:68" ht="19.5" thickBot="1" x14ac:dyDescent="0.35">
      <c r="C41" s="43" t="s">
        <v>138</v>
      </c>
      <c r="G41" s="48" t="s">
        <v>227</v>
      </c>
      <c r="I41" s="43" t="s">
        <v>138</v>
      </c>
      <c r="Q41" s="12"/>
      <c r="R41" s="63">
        <f t="shared" si="37"/>
        <v>0</v>
      </c>
      <c r="S41" s="63">
        <f t="shared" si="27"/>
        <v>0</v>
      </c>
      <c r="T41" s="63">
        <f t="shared" si="28"/>
        <v>0</v>
      </c>
      <c r="U41" s="63">
        <f t="shared" si="29"/>
        <v>0</v>
      </c>
      <c r="W41" s="11"/>
      <c r="X41" s="11"/>
      <c r="Y41" s="11"/>
      <c r="AL41" s="14" t="s">
        <v>19</v>
      </c>
      <c r="AM41" s="14" t="s">
        <v>19</v>
      </c>
      <c r="AN41" s="14" t="s">
        <v>19</v>
      </c>
      <c r="AO41" s="14" t="s">
        <v>19</v>
      </c>
      <c r="AQ41" s="60">
        <v>17</v>
      </c>
      <c r="AS41" s="62" t="str">
        <f>IF(AL41="","",IF(OR(AL41="Fr",AL41="La",AL41="Sn"),IF(AL41&lt;&gt;IFERROR(VLOOKUP(Wahlbogen!$B$6,F!$A$2:$C$22,3,0),"Sp"),"",AL41),AL41))</f>
        <v/>
      </c>
      <c r="AT41" s="62" t="str">
        <f>IF(AM41="","",IF(OR(AM41="Fr",AM41="La",AM41="Sn"),IF(AM41&lt;&gt;IFERROR(VLOOKUP(Wahlbogen!$B$6,F!$A$2:$C$22,3,0),"Sp"),"",AM41),AM41))</f>
        <v/>
      </c>
      <c r="AU41" s="62" t="str">
        <f>IF(AN41="","",IF(OR(AN41="Fr",AN41="La",AN41="Sn"),IF(AN41&lt;&gt;IFERROR(VLOOKUP(Wahlbogen!$B$6,F!$A$2:$C$22,3,0),"Sp"),"",AN41),AN41))</f>
        <v/>
      </c>
      <c r="AV41" s="62" t="str">
        <f>IF(AO41="","",IF(OR(AO41="Fr",AO41="La",AO41="Sn"),IF(AO41&lt;&gt;IFERROR(VLOOKUP(Wahlbogen!$B$6,F!$A$2:$C$22,3,0),"Sp"),"",AO41),AO41))</f>
        <v/>
      </c>
      <c r="AX41" s="62" t="str">
        <f t="shared" si="38"/>
        <v/>
      </c>
      <c r="AY41" s="62" t="str">
        <f t="shared" si="39"/>
        <v/>
      </c>
      <c r="AZ41" s="62" t="str">
        <f t="shared" si="40"/>
        <v/>
      </c>
      <c r="BA41" s="62" t="str">
        <f t="shared" si="41"/>
        <v/>
      </c>
      <c r="BC41" s="62" t="str">
        <f t="shared" si="42"/>
        <v/>
      </c>
      <c r="BD41" s="62" t="str">
        <f t="shared" si="43"/>
        <v/>
      </c>
      <c r="BE41" s="62" t="str">
        <f t="shared" si="44"/>
        <v/>
      </c>
      <c r="BF41" s="62" t="str">
        <f t="shared" si="45"/>
        <v/>
      </c>
      <c r="BH41" s="62" t="str">
        <f t="shared" si="46"/>
        <v/>
      </c>
      <c r="BI41" s="62" t="str">
        <f t="shared" si="47"/>
        <v/>
      </c>
      <c r="BJ41" s="62" t="str">
        <f t="shared" si="48"/>
        <v/>
      </c>
      <c r="BK41" s="62" t="str">
        <f t="shared" si="49"/>
        <v/>
      </c>
      <c r="BM41" s="62" t="str">
        <f t="shared" si="50"/>
        <v/>
      </c>
      <c r="BN41" s="62" t="str">
        <f t="shared" si="51"/>
        <v/>
      </c>
      <c r="BO41" s="62" t="str">
        <f t="shared" si="52"/>
        <v/>
      </c>
      <c r="BP41" s="62" t="str">
        <f t="shared" si="53"/>
        <v/>
      </c>
    </row>
    <row r="42" spans="1:68" x14ac:dyDescent="0.25">
      <c r="B42" s="35" t="s">
        <v>135</v>
      </c>
      <c r="C42" s="3">
        <v>1</v>
      </c>
      <c r="D42" s="4" t="s">
        <v>240</v>
      </c>
      <c r="E42" s="36"/>
      <c r="F42" s="116" t="str">
        <f>IF(C42="",0,CONCATENATE("A",C42,": ",D42))</f>
        <v>A1: Fitness und Entspannung</v>
      </c>
      <c r="G42" s="50"/>
      <c r="H42" s="35" t="s">
        <v>137</v>
      </c>
      <c r="I42" s="3">
        <v>1</v>
      </c>
      <c r="J42" s="4" t="s">
        <v>295</v>
      </c>
      <c r="K42" s="36"/>
      <c r="L42" s="37" t="str">
        <f>IF(I42="","",CONCATENATE(I42,": ",J42))</f>
        <v>1: Filmmusik - Filmgeschichte - Filmästhetik</v>
      </c>
      <c r="Q42" s="12"/>
      <c r="R42" s="63">
        <f t="shared" si="37"/>
        <v>0</v>
      </c>
      <c r="S42" s="63">
        <f t="shared" si="27"/>
        <v>0</v>
      </c>
      <c r="T42" s="63">
        <f t="shared" si="28"/>
        <v>0</v>
      </c>
      <c r="U42" s="63">
        <f t="shared" si="29"/>
        <v>0</v>
      </c>
      <c r="W42" s="11"/>
      <c r="X42" s="11"/>
      <c r="Y42" s="11"/>
      <c r="AL42" s="14" t="s">
        <v>19</v>
      </c>
      <c r="AM42" s="14" t="s">
        <v>19</v>
      </c>
      <c r="AN42" s="14" t="s">
        <v>19</v>
      </c>
      <c r="AO42" s="14" t="s">
        <v>19</v>
      </c>
      <c r="AQ42" s="60">
        <v>18</v>
      </c>
      <c r="AS42" s="62" t="str">
        <f>IF(AL42="","",IF(OR(AL42="Fr",AL42="La",AL42="Sn"),IF(AL42&lt;&gt;IFERROR(VLOOKUP(Wahlbogen!$B$6,F!$A$2:$C$22,3,0),"Sp"),"",AL42),AL42))</f>
        <v/>
      </c>
      <c r="AT42" s="62" t="str">
        <f>IF(AM42="","",IF(OR(AM42="Fr",AM42="La",AM42="Sn"),IF(AM42&lt;&gt;IFERROR(VLOOKUP(Wahlbogen!$B$6,F!$A$2:$C$22,3,0),"Sp"),"",AM42),AM42))</f>
        <v/>
      </c>
      <c r="AU42" s="62" t="str">
        <f>IF(AN42="","",IF(OR(AN42="Fr",AN42="La",AN42="Sn"),IF(AN42&lt;&gt;IFERROR(VLOOKUP(Wahlbogen!$B$6,F!$A$2:$C$22,3,0),"Sp"),"",AN42),AN42))</f>
        <v/>
      </c>
      <c r="AV42" s="62" t="str">
        <f>IF(AO42="","",IF(OR(AO42="Fr",AO42="La",AO42="Sn"),IF(AO42&lt;&gt;IFERROR(VLOOKUP(Wahlbogen!$B$6,F!$A$2:$C$22,3,0),"Sp"),"",AO42),AO42))</f>
        <v/>
      </c>
      <c r="AX42" s="62" t="str">
        <f t="shared" si="38"/>
        <v/>
      </c>
      <c r="AY42" s="62" t="str">
        <f t="shared" si="39"/>
        <v/>
      </c>
      <c r="AZ42" s="62" t="str">
        <f t="shared" si="40"/>
        <v/>
      </c>
      <c r="BA42" s="62" t="str">
        <f t="shared" si="41"/>
        <v/>
      </c>
      <c r="BC42" s="62" t="str">
        <f t="shared" si="42"/>
        <v/>
      </c>
      <c r="BD42" s="62" t="str">
        <f t="shared" si="43"/>
        <v/>
      </c>
      <c r="BE42" s="62" t="str">
        <f t="shared" si="44"/>
        <v/>
      </c>
      <c r="BF42" s="62" t="str">
        <f t="shared" si="45"/>
        <v/>
      </c>
      <c r="BH42" s="62" t="str">
        <f t="shared" si="46"/>
        <v/>
      </c>
      <c r="BI42" s="62" t="str">
        <f t="shared" si="47"/>
        <v/>
      </c>
      <c r="BJ42" s="62" t="str">
        <f t="shared" si="48"/>
        <v/>
      </c>
      <c r="BK42" s="62" t="str">
        <f t="shared" si="49"/>
        <v/>
      </c>
      <c r="BM42" s="62" t="str">
        <f t="shared" si="50"/>
        <v/>
      </c>
      <c r="BN42" s="62" t="str">
        <f t="shared" si="51"/>
        <v/>
      </c>
      <c r="BO42" s="62" t="str">
        <f t="shared" si="52"/>
        <v/>
      </c>
      <c r="BP42" s="62" t="str">
        <f t="shared" si="53"/>
        <v/>
      </c>
    </row>
    <row r="43" spans="1:68" x14ac:dyDescent="0.25">
      <c r="C43" s="5">
        <v>2</v>
      </c>
      <c r="D43" s="2" t="s">
        <v>139</v>
      </c>
      <c r="F43" s="30" t="str">
        <f t="shared" ref="F43:F53" si="54">IF(C43="",0,CONCATENATE("A",C43,": ",D43))</f>
        <v>A2: Leichtathletik</v>
      </c>
      <c r="G43" s="51"/>
      <c r="I43" s="5">
        <v>2</v>
      </c>
      <c r="J43" s="2" t="s">
        <v>299</v>
      </c>
      <c r="L43" s="38" t="str">
        <f t="shared" ref="L43:L53" si="55">IF(I43="","",CONCATENATE(I43,": ",J43))</f>
        <v>2: Proteste - die Macht der Machtlosen?</v>
      </c>
      <c r="Q43" s="12"/>
      <c r="R43" s="63">
        <f t="shared" si="37"/>
        <v>0</v>
      </c>
      <c r="S43" s="63">
        <f t="shared" si="27"/>
        <v>0</v>
      </c>
      <c r="T43" s="63">
        <f t="shared" si="28"/>
        <v>0</v>
      </c>
      <c r="U43" s="63">
        <f t="shared" si="29"/>
        <v>0</v>
      </c>
      <c r="W43" s="11"/>
      <c r="X43" s="11"/>
      <c r="Y43" s="11"/>
      <c r="AL43" s="14" t="s">
        <v>19</v>
      </c>
      <c r="AM43" s="14" t="s">
        <v>19</v>
      </c>
      <c r="AN43" s="14" t="s">
        <v>19</v>
      </c>
      <c r="AO43" s="14" t="s">
        <v>19</v>
      </c>
      <c r="AQ43" s="60">
        <v>19</v>
      </c>
      <c r="AS43" s="62" t="str">
        <f>IF(AL43="","",IF(OR(AL43="Fr",AL43="La",AL43="Sn"),IF(AL43&lt;&gt;IFERROR(VLOOKUP(Wahlbogen!$B$6,F!$A$2:$C$22,3,0),"Sp"),"",AL43),AL43))</f>
        <v/>
      </c>
      <c r="AT43" s="62" t="str">
        <f>IF(AM43="","",IF(OR(AM43="Fr",AM43="La",AM43="Sn"),IF(AM43&lt;&gt;IFERROR(VLOOKUP(Wahlbogen!$B$6,F!$A$2:$C$22,3,0),"Sp"),"",AM43),AM43))</f>
        <v/>
      </c>
      <c r="AU43" s="62" t="str">
        <f>IF(AN43="","",IF(OR(AN43="Fr",AN43="La",AN43="Sn"),IF(AN43&lt;&gt;IFERROR(VLOOKUP(Wahlbogen!$B$6,F!$A$2:$C$22,3,0),"Sp"),"",AN43),AN43))</f>
        <v/>
      </c>
      <c r="AV43" s="62" t="str">
        <f>IF(AO43="","",IF(OR(AO43="Fr",AO43="La",AO43="Sn"),IF(AO43&lt;&gt;IFERROR(VLOOKUP(Wahlbogen!$B$6,F!$A$2:$C$22,3,0),"Sp"),"",AO43),AO43))</f>
        <v/>
      </c>
      <c r="AX43" s="62" t="str">
        <f t="shared" si="38"/>
        <v/>
      </c>
      <c r="AY43" s="62" t="str">
        <f t="shared" si="39"/>
        <v/>
      </c>
      <c r="AZ43" s="62" t="str">
        <f t="shared" si="40"/>
        <v/>
      </c>
      <c r="BA43" s="62" t="str">
        <f t="shared" si="41"/>
        <v/>
      </c>
      <c r="BC43" s="62" t="str">
        <f t="shared" si="42"/>
        <v/>
      </c>
      <c r="BD43" s="62" t="str">
        <f t="shared" si="43"/>
        <v/>
      </c>
      <c r="BE43" s="62" t="str">
        <f t="shared" si="44"/>
        <v/>
      </c>
      <c r="BF43" s="62" t="str">
        <f t="shared" si="45"/>
        <v/>
      </c>
      <c r="BH43" s="62" t="str">
        <f t="shared" si="46"/>
        <v/>
      </c>
      <c r="BI43" s="62" t="str">
        <f t="shared" si="47"/>
        <v/>
      </c>
      <c r="BJ43" s="62" t="str">
        <f t="shared" si="48"/>
        <v/>
      </c>
      <c r="BK43" s="62" t="str">
        <f t="shared" si="49"/>
        <v/>
      </c>
      <c r="BM43" s="62" t="str">
        <f t="shared" si="50"/>
        <v/>
      </c>
      <c r="BN43" s="62" t="str">
        <f t="shared" si="51"/>
        <v/>
      </c>
      <c r="BO43" s="62" t="str">
        <f t="shared" si="52"/>
        <v/>
      </c>
      <c r="BP43" s="62" t="str">
        <f t="shared" si="53"/>
        <v/>
      </c>
    </row>
    <row r="44" spans="1:68" x14ac:dyDescent="0.25">
      <c r="C44" s="5">
        <v>3</v>
      </c>
      <c r="D44" s="2" t="s">
        <v>133</v>
      </c>
      <c r="F44" s="30" t="str">
        <f t="shared" si="54"/>
        <v>A3: Orientieren</v>
      </c>
      <c r="G44" s="51" t="s">
        <v>280</v>
      </c>
      <c r="I44" s="5">
        <v>3</v>
      </c>
      <c r="J44" s="2" t="s">
        <v>297</v>
      </c>
      <c r="L44" s="38" t="str">
        <f t="shared" si="55"/>
        <v>3: Sportbiologie</v>
      </c>
      <c r="Q44" s="12"/>
      <c r="W44" s="11"/>
      <c r="X44" s="11"/>
      <c r="Y44" s="11"/>
      <c r="AL44" t="s">
        <v>19</v>
      </c>
      <c r="AM44" t="s">
        <v>19</v>
      </c>
      <c r="AN44" t="s">
        <v>19</v>
      </c>
      <c r="AO44" t="s">
        <v>19</v>
      </c>
    </row>
    <row r="45" spans="1:68" x14ac:dyDescent="0.25">
      <c r="C45" s="5">
        <v>4</v>
      </c>
      <c r="D45" s="2" t="s">
        <v>126</v>
      </c>
      <c r="F45" s="30" t="str">
        <f t="shared" si="54"/>
        <v>A4: Rudern</v>
      </c>
      <c r="G45" s="51" t="s">
        <v>280</v>
      </c>
      <c r="I45" s="5">
        <v>4</v>
      </c>
      <c r="J45" s="2" t="s">
        <v>300</v>
      </c>
      <c r="L45" s="38" t="str">
        <f t="shared" si="55"/>
        <v>4: Infektionskrankheiten</v>
      </c>
      <c r="Q45" s="12"/>
      <c r="AL45" t="s">
        <v>19</v>
      </c>
      <c r="AM45" t="s">
        <v>19</v>
      </c>
      <c r="AN45" t="s">
        <v>19</v>
      </c>
      <c r="AO45" t="s">
        <v>19</v>
      </c>
    </row>
    <row r="46" spans="1:68" x14ac:dyDescent="0.25">
      <c r="C46" s="5">
        <v>5</v>
      </c>
      <c r="D46" s="2" t="s">
        <v>132</v>
      </c>
      <c r="F46" s="30" t="str">
        <f t="shared" si="54"/>
        <v>A5: Skaten</v>
      </c>
      <c r="G46" s="51"/>
      <c r="I46" s="5">
        <v>5</v>
      </c>
      <c r="J46" s="2" t="s">
        <v>298</v>
      </c>
      <c r="L46" s="38" t="str">
        <f t="shared" si="55"/>
        <v>5: Empirische Sozialforschung: Interview und Fragebogen als Forschungsmethoden</v>
      </c>
      <c r="Q46" s="12"/>
      <c r="AL46" t="s">
        <v>19</v>
      </c>
      <c r="AM46" t="s">
        <v>19</v>
      </c>
      <c r="AN46" t="s">
        <v>19</v>
      </c>
      <c r="AO46" t="s">
        <v>19</v>
      </c>
    </row>
    <row r="47" spans="1:68" ht="18.75" x14ac:dyDescent="0.25">
      <c r="C47" s="5">
        <v>6</v>
      </c>
      <c r="D47" s="2" t="s">
        <v>160</v>
      </c>
      <c r="F47" s="30" t="str">
        <f t="shared" si="54"/>
        <v>A6: Ski/Snowboard</v>
      </c>
      <c r="G47" s="51" t="s">
        <v>280</v>
      </c>
      <c r="I47" s="5">
        <v>6</v>
      </c>
      <c r="J47" s="2" t="s">
        <v>296</v>
      </c>
      <c r="L47" s="38" t="str">
        <f t="shared" si="55"/>
        <v>6: Die Region Lüneburg in Vergangenheit, Gegenwart und Zukunft</v>
      </c>
      <c r="Q47" s="12"/>
      <c r="R47" s="10"/>
      <c r="AL47" t="s">
        <v>19</v>
      </c>
      <c r="AM47" t="s">
        <v>19</v>
      </c>
      <c r="AN47" t="s">
        <v>19</v>
      </c>
      <c r="AO47" t="s">
        <v>19</v>
      </c>
    </row>
    <row r="48" spans="1:68" ht="18.75" x14ac:dyDescent="0.25">
      <c r="C48" s="5">
        <v>7</v>
      </c>
      <c r="D48" s="2" t="s">
        <v>241</v>
      </c>
      <c r="F48" s="30" t="str">
        <f t="shared" si="54"/>
        <v>A7: Turnen und Le Parkour</v>
      </c>
      <c r="G48" s="51"/>
      <c r="I48" s="5"/>
      <c r="J48" s="2"/>
      <c r="L48" s="38" t="str">
        <f t="shared" si="55"/>
        <v/>
      </c>
      <c r="Q48" s="12"/>
      <c r="R48" s="10" t="s">
        <v>106</v>
      </c>
      <c r="AL48" s="10" t="s">
        <v>106</v>
      </c>
      <c r="AM48" s="8"/>
      <c r="AN48" s="8"/>
      <c r="AO48" s="8"/>
    </row>
    <row r="49" spans="2:68" x14ac:dyDescent="0.25">
      <c r="C49" s="5"/>
      <c r="D49" s="2"/>
      <c r="F49" s="30">
        <f t="shared" si="54"/>
        <v>0</v>
      </c>
      <c r="G49" s="51"/>
      <c r="I49" s="5"/>
      <c r="J49" s="2"/>
      <c r="L49" s="38" t="str">
        <f t="shared" si="55"/>
        <v/>
      </c>
      <c r="Q49" s="12"/>
      <c r="R49" s="15" t="s">
        <v>99</v>
      </c>
      <c r="S49" s="15" t="s">
        <v>100</v>
      </c>
      <c r="T49" s="15" t="s">
        <v>101</v>
      </c>
      <c r="U49" s="15" t="s">
        <v>102</v>
      </c>
      <c r="AL49" s="15" t="s">
        <v>99</v>
      </c>
      <c r="AM49" s="15" t="s">
        <v>100</v>
      </c>
      <c r="AN49" s="15"/>
      <c r="AO49" s="15" t="s">
        <v>102</v>
      </c>
      <c r="AQ49" t="s">
        <v>237</v>
      </c>
      <c r="AS49" t="s">
        <v>232</v>
      </c>
      <c r="AX49" t="s">
        <v>233</v>
      </c>
      <c r="BC49" t="s">
        <v>234</v>
      </c>
      <c r="BH49" t="s">
        <v>235</v>
      </c>
      <c r="BM49" t="s">
        <v>236</v>
      </c>
    </row>
    <row r="50" spans="2:68" x14ac:dyDescent="0.25">
      <c r="C50" s="5"/>
      <c r="D50" s="2"/>
      <c r="F50" s="30">
        <f t="shared" si="54"/>
        <v>0</v>
      </c>
      <c r="G50" s="51"/>
      <c r="I50" s="5"/>
      <c r="J50" s="2"/>
      <c r="L50" s="38" t="str">
        <f t="shared" si="55"/>
        <v/>
      </c>
      <c r="Q50" s="12"/>
      <c r="R50" s="63" t="str">
        <f>IFERROR(VLOOKUP(BM50,$E$2:$G$22,3,0),0)</f>
        <v>Deutsch</v>
      </c>
      <c r="S50" s="63" t="str">
        <f t="shared" ref="S50:U65" si="56">IFERROR(VLOOKUP(BN50,$E$2:$G$22,3,0),0)</f>
        <v>Deutsch</v>
      </c>
      <c r="T50" s="63" t="str">
        <f t="shared" si="56"/>
        <v>Politik-Wirtschaft</v>
      </c>
      <c r="U50" s="63" t="str">
        <f t="shared" si="56"/>
        <v>Deutsch</v>
      </c>
      <c r="W50" s="11"/>
      <c r="X50" s="11"/>
      <c r="Y50" s="11"/>
      <c r="Z50" s="17"/>
      <c r="AA50" s="17">
        <v>1</v>
      </c>
      <c r="AB50" s="17">
        <v>2</v>
      </c>
      <c r="AC50" s="17">
        <v>3</v>
      </c>
      <c r="AD50" s="17">
        <v>4</v>
      </c>
      <c r="AE50" s="17"/>
      <c r="AF50" s="17">
        <v>1</v>
      </c>
      <c r="AG50" s="17">
        <v>2</v>
      </c>
      <c r="AH50" s="17">
        <v>3</v>
      </c>
      <c r="AI50" s="17">
        <v>4</v>
      </c>
      <c r="AL50" s="14" t="s">
        <v>45</v>
      </c>
      <c r="AM50" s="14" t="s">
        <v>45</v>
      </c>
      <c r="AN50" s="14"/>
      <c r="AO50" s="14" t="s">
        <v>45</v>
      </c>
      <c r="AQ50" s="60">
        <v>1</v>
      </c>
      <c r="AS50" s="62" t="str">
        <f>IF(AL50="","",IF(OR(AL50="Fr",AL50="La",AL50="Sn"),IF(AL50&lt;&gt;IFERROR(VLOOKUP(Wahlbogen!$B$6,F!$A$2:$C$22,3,0),"Sp"),"",AL50),AL50))</f>
        <v>De</v>
      </c>
      <c r="AT50" s="62" t="str">
        <f>IF(AM50="","",IF(OR(AM50="Fr",AM50="La",AM50="Sn"),IF(AM50&lt;&gt;IFERROR(VLOOKUP(Wahlbogen!$B$6,F!$A$2:$C$22,3,0),"Sp"),"",AM50),AM50))</f>
        <v>De</v>
      </c>
      <c r="AU50" s="62" t="str">
        <f>IF(AN50="","",IF(OR(AN50="Fr",AN50="La",AN50="Sn"),IF(AN50&lt;&gt;IFERROR(VLOOKUP(Wahlbogen!$B$6,F!$A$2:$C$22,3,0),"Sp"),"",AN50),AN50))</f>
        <v/>
      </c>
      <c r="AV50" s="62" t="str">
        <f>IF(AO50="","",IF(OR(AO50="Fr",AO50="La",AO50="Sn"),IF(AO50&lt;&gt;IFERROR(VLOOKUP(Wahlbogen!$B$6,F!$A$2:$C$22,3,0),"Sp"),"",AO50),AO50))</f>
        <v>De</v>
      </c>
      <c r="AX50" s="62">
        <f>IFERROR(VLOOKUP(AS50,$C$2:$H$22,6,0),"")</f>
        <v>1</v>
      </c>
      <c r="AY50" s="62">
        <f t="shared" ref="AY50" si="57">IFERROR(VLOOKUP(AT50,$C$2:$H$22,6,0),"")</f>
        <v>1</v>
      </c>
      <c r="AZ50" s="62" t="str">
        <f t="shared" ref="AZ50" si="58">IFERROR(VLOOKUP(AU50,$C$2:$H$22,6,0),"")</f>
        <v/>
      </c>
      <c r="BA50" s="62">
        <f t="shared" ref="BA50" si="59">IFERROR(VLOOKUP(AV50,$C$2:$H$22,6,0),"")</f>
        <v>1</v>
      </c>
      <c r="BC50" s="62">
        <f>IFERROR(RANK(AX50,AX$50:AX$69,1),"")</f>
        <v>1</v>
      </c>
      <c r="BD50" s="62">
        <f t="shared" ref="BD50:BF50" si="60">IFERROR(RANK(AY50,AY$50:AY$69,1),"")</f>
        <v>1</v>
      </c>
      <c r="BE50" s="62" t="str">
        <f t="shared" si="60"/>
        <v/>
      </c>
      <c r="BF50" s="62">
        <f t="shared" si="60"/>
        <v>1</v>
      </c>
      <c r="BH50" s="62" t="str">
        <f>AS50</f>
        <v>De</v>
      </c>
      <c r="BI50" s="62" t="str">
        <f t="shared" ref="BI50" si="61">AT50</f>
        <v>De</v>
      </c>
      <c r="BJ50" s="62" t="str">
        <f t="shared" ref="BJ50" si="62">AU50</f>
        <v/>
      </c>
      <c r="BK50" s="62" t="str">
        <f t="shared" ref="BK50" si="63">AV50</f>
        <v>De</v>
      </c>
      <c r="BM50" s="62" t="str">
        <f>IFERROR(VLOOKUP($AQ50,BC$50:BH$69,6,0),"")</f>
        <v>De</v>
      </c>
      <c r="BN50" s="62" t="str">
        <f>IFERROR(VLOOKUP($AQ50,BD$50:BI$69,6,0),"")</f>
        <v>De</v>
      </c>
      <c r="BO50" s="62" t="str">
        <f>IFERROR(VLOOKUP($AQ50,BE$50:BJ$69,6,0),"")</f>
        <v>Po</v>
      </c>
      <c r="BP50" s="62" t="str">
        <f>IFERROR(VLOOKUP($AQ50,BF$50:BK$69,6,0),"")</f>
        <v>De</v>
      </c>
    </row>
    <row r="51" spans="2:68" x14ac:dyDescent="0.25">
      <c r="C51" s="5"/>
      <c r="D51" s="2"/>
      <c r="F51" s="30">
        <f t="shared" si="54"/>
        <v>0</v>
      </c>
      <c r="G51" s="51"/>
      <c r="I51" s="5"/>
      <c r="J51" s="2"/>
      <c r="L51" s="38" t="str">
        <f t="shared" si="55"/>
        <v/>
      </c>
      <c r="Q51" s="12"/>
      <c r="R51" s="63" t="str">
        <f t="shared" ref="R51:R77" si="64">IFERROR(VLOOKUP(BM51,$E$2:$G$22,3,0),0)</f>
        <v>Englisch</v>
      </c>
      <c r="S51" s="63" t="str">
        <f t="shared" si="56"/>
        <v>Englisch</v>
      </c>
      <c r="T51" s="63" t="str">
        <f t="shared" si="56"/>
        <v>Erdkunde</v>
      </c>
      <c r="U51" s="63" t="str">
        <f t="shared" si="56"/>
        <v>Englisch</v>
      </c>
      <c r="W51" s="11"/>
      <c r="X51" s="11"/>
      <c r="Y51" s="11"/>
      <c r="Z51" s="17"/>
      <c r="AA51" s="17" t="s">
        <v>119</v>
      </c>
      <c r="AB51" s="17" t="s">
        <v>120</v>
      </c>
      <c r="AC51" s="17" t="s">
        <v>121</v>
      </c>
      <c r="AD51" s="17" t="s">
        <v>122</v>
      </c>
      <c r="AE51" s="17"/>
      <c r="AF51" s="17" t="s">
        <v>119</v>
      </c>
      <c r="AG51" s="17" t="s">
        <v>120</v>
      </c>
      <c r="AH51" s="17" t="s">
        <v>121</v>
      </c>
      <c r="AI51" s="17" t="s">
        <v>122</v>
      </c>
      <c r="AL51" s="14" t="s">
        <v>46</v>
      </c>
      <c r="AM51" s="14" t="s">
        <v>46</v>
      </c>
      <c r="AN51" s="14"/>
      <c r="AO51" s="14" t="s">
        <v>46</v>
      </c>
      <c r="AQ51" s="60">
        <v>2</v>
      </c>
      <c r="AS51" s="62" t="str">
        <f>IF(AL51="","",IF(OR(AL51="Fr",AL51="La",AL51="Sn"),IF(AL51&lt;&gt;IFERROR(VLOOKUP(Wahlbogen!$B$6,F!$A$2:$C$22,3,0),"Sp"),"",AL51),AL51))</f>
        <v>En</v>
      </c>
      <c r="AT51" s="62" t="str">
        <f>IF(AM51="","",IF(OR(AM51="Fr",AM51="La",AM51="Sn"),IF(AM51&lt;&gt;IFERROR(VLOOKUP(Wahlbogen!$B$6,F!$A$2:$C$22,3,0),"Sp"),"",AM51),AM51))</f>
        <v>En</v>
      </c>
      <c r="AU51" s="62" t="str">
        <f>IF(AN51="","",IF(OR(AN51="Fr",AN51="La",AN51="Sn"),IF(AN51&lt;&gt;IFERROR(VLOOKUP(Wahlbogen!$B$6,F!$A$2:$C$22,3,0),"Sp"),"",AN51),AN51))</f>
        <v/>
      </c>
      <c r="AV51" s="62" t="str">
        <f>IF(AO51="","",IF(OR(AO51="Fr",AO51="La",AO51="Sn"),IF(AO51&lt;&gt;IFERROR(VLOOKUP(Wahlbogen!$B$6,F!$A$2:$C$22,3,0),"Sp"),"",AO51),AO51))</f>
        <v>En</v>
      </c>
      <c r="AX51" s="62">
        <f t="shared" ref="AX51:AX69" si="65">IFERROR(VLOOKUP(AS51,$C$2:$H$22,6,0),"")</f>
        <v>2</v>
      </c>
      <c r="AY51" s="62">
        <f t="shared" ref="AY51:AY69" si="66">IFERROR(VLOOKUP(AT51,$C$2:$H$22,6,0),"")</f>
        <v>2</v>
      </c>
      <c r="AZ51" s="62" t="str">
        <f t="shared" ref="AZ51:AZ69" si="67">IFERROR(VLOOKUP(AU51,$C$2:$H$22,6,0),"")</f>
        <v/>
      </c>
      <c r="BA51" s="62">
        <f t="shared" ref="BA51:BA69" si="68">IFERROR(VLOOKUP(AV51,$C$2:$H$22,6,0),"")</f>
        <v>2</v>
      </c>
      <c r="BC51" s="62">
        <f t="shared" ref="BC51:BC69" si="69">IFERROR(RANK(AX51,AX$50:AX$69,1),"")</f>
        <v>2</v>
      </c>
      <c r="BD51" s="62">
        <f t="shared" ref="BD51:BD69" si="70">IFERROR(RANK(AY51,AY$50:AY$69,1),"")</f>
        <v>2</v>
      </c>
      <c r="BE51" s="62" t="str">
        <f t="shared" ref="BE51:BE69" si="71">IFERROR(RANK(AZ51,AZ$50:AZ$69,1),"")</f>
        <v/>
      </c>
      <c r="BF51" s="62">
        <f t="shared" ref="BF51:BF69" si="72">IFERROR(RANK(BA51,BA$50:BA$69,1),"")</f>
        <v>2</v>
      </c>
      <c r="BH51" s="62" t="str">
        <f t="shared" ref="BH51:BH69" si="73">AS51</f>
        <v>En</v>
      </c>
      <c r="BI51" s="62" t="str">
        <f t="shared" ref="BI51:BI69" si="74">AT51</f>
        <v>En</v>
      </c>
      <c r="BJ51" s="62" t="str">
        <f t="shared" ref="BJ51:BJ69" si="75">AU51</f>
        <v/>
      </c>
      <c r="BK51" s="62" t="str">
        <f t="shared" ref="BK51:BK69" si="76">AV51</f>
        <v>En</v>
      </c>
      <c r="BM51" s="62" t="str">
        <f t="shared" ref="BM51:BM69" si="77">IFERROR(VLOOKUP($AQ51,BC$50:BH$69,6,0),"")</f>
        <v>En</v>
      </c>
      <c r="BN51" s="62" t="str">
        <f t="shared" ref="BN51:BN69" si="78">IFERROR(VLOOKUP($AQ51,BD$50:BI$69,6,0),"")</f>
        <v>En</v>
      </c>
      <c r="BO51" s="62" t="str">
        <f t="shared" ref="BO51:BO69" si="79">IFERROR(VLOOKUP($AQ51,BE$50:BJ$69,6,0),"")</f>
        <v>Ek</v>
      </c>
      <c r="BP51" s="62" t="str">
        <f t="shared" ref="BP51:BP69" si="80">IFERROR(VLOOKUP($AQ51,BF$50:BK$69,6,0),"")</f>
        <v>En</v>
      </c>
    </row>
    <row r="52" spans="2:68" x14ac:dyDescent="0.25">
      <c r="C52" s="5"/>
      <c r="D52" s="2"/>
      <c r="F52" s="30">
        <f t="shared" si="54"/>
        <v>0</v>
      </c>
      <c r="G52" s="51"/>
      <c r="I52" s="5"/>
      <c r="J52" s="2"/>
      <c r="L52" s="38" t="str">
        <f t="shared" si="55"/>
        <v/>
      </c>
      <c r="Q52" s="12"/>
      <c r="R52" s="63" t="str">
        <f t="shared" si="64"/>
        <v>Geschichte</v>
      </c>
      <c r="S52" s="63" t="str">
        <f t="shared" si="56"/>
        <v>Geschichte</v>
      </c>
      <c r="T52" s="63" t="str">
        <f t="shared" si="56"/>
        <v>Ev. Religion</v>
      </c>
      <c r="U52" s="63" t="str">
        <f t="shared" si="56"/>
        <v>Geschichte</v>
      </c>
      <c r="W52" s="11"/>
      <c r="X52" s="11"/>
      <c r="Y52" s="11"/>
      <c r="Z52" s="17" t="s">
        <v>115</v>
      </c>
      <c r="AA52" s="17">
        <f>ROW()-2</f>
        <v>50</v>
      </c>
      <c r="AB52" s="17">
        <f>AA52</f>
        <v>50</v>
      </c>
      <c r="AC52" s="17">
        <f>AB52</f>
        <v>50</v>
      </c>
      <c r="AD52" s="17">
        <f>AC52</f>
        <v>50</v>
      </c>
      <c r="AE52" s="17" t="s">
        <v>115</v>
      </c>
      <c r="AF52" s="17">
        <f>MATCH("",R49:R77,-1)+ROW()-4</f>
        <v>59</v>
      </c>
      <c r="AG52" s="17">
        <f>MATCH("",S49:S77,-1)+ROW()-4</f>
        <v>59</v>
      </c>
      <c r="AH52" s="17">
        <f>MATCH("",T49:T77,-1)+ROW()-4</f>
        <v>52</v>
      </c>
      <c r="AI52" s="17">
        <f>MATCH("",U49:U77,-1)+ROW()-4</f>
        <v>60</v>
      </c>
      <c r="AL52" s="14" t="s">
        <v>49</v>
      </c>
      <c r="AM52" s="14" t="s">
        <v>49</v>
      </c>
      <c r="AN52" s="14"/>
      <c r="AO52" s="14" t="s">
        <v>49</v>
      </c>
      <c r="AQ52" s="60">
        <v>3</v>
      </c>
      <c r="AS52" s="62" t="str">
        <f>IF(AL52="","",IF(OR(AL52="Fr",AL52="La",AL52="Sn"),IF(AL52&lt;&gt;IFERROR(VLOOKUP(Wahlbogen!$B$6,F!$A$2:$C$22,3,0),"Sp"),"",AL52),AL52))</f>
        <v/>
      </c>
      <c r="AT52" s="62" t="str">
        <f>IF(AM52="","",IF(OR(AM52="Fr",AM52="La",AM52="Sn"),IF(AM52&lt;&gt;IFERROR(VLOOKUP(Wahlbogen!$B$6,F!$A$2:$C$22,3,0),"Sp"),"",AM52),AM52))</f>
        <v/>
      </c>
      <c r="AU52" s="62" t="str">
        <f>IF(AN52="","",IF(OR(AN52="Fr",AN52="La",AN52="Sn"),IF(AN52&lt;&gt;IFERROR(VLOOKUP(Wahlbogen!$B$6,F!$A$2:$C$22,3,0),"Sp"),"",AN52),AN52))</f>
        <v/>
      </c>
      <c r="AV52" s="62" t="str">
        <f>IF(AO52="","",IF(OR(AO52="Fr",AO52="La",AO52="Sn"),IF(AO52&lt;&gt;IFERROR(VLOOKUP(Wahlbogen!$B$6,F!$A$2:$C$22,3,0),"Sp"),"",AO52),AO52))</f>
        <v/>
      </c>
      <c r="AX52" s="62" t="str">
        <f t="shared" si="65"/>
        <v/>
      </c>
      <c r="AY52" s="62" t="str">
        <f t="shared" si="66"/>
        <v/>
      </c>
      <c r="AZ52" s="62" t="str">
        <f t="shared" si="67"/>
        <v/>
      </c>
      <c r="BA52" s="62" t="str">
        <f t="shared" si="68"/>
        <v/>
      </c>
      <c r="BC52" s="62" t="str">
        <f t="shared" si="69"/>
        <v/>
      </c>
      <c r="BD52" s="62" t="str">
        <f t="shared" si="70"/>
        <v/>
      </c>
      <c r="BE52" s="62" t="str">
        <f t="shared" si="71"/>
        <v/>
      </c>
      <c r="BF52" s="62" t="str">
        <f t="shared" si="72"/>
        <v/>
      </c>
      <c r="BH52" s="62" t="str">
        <f t="shared" si="73"/>
        <v/>
      </c>
      <c r="BI52" s="62" t="str">
        <f t="shared" si="74"/>
        <v/>
      </c>
      <c r="BJ52" s="62" t="str">
        <f t="shared" si="75"/>
        <v/>
      </c>
      <c r="BK52" s="62" t="str">
        <f t="shared" si="76"/>
        <v/>
      </c>
      <c r="BM52" s="62" t="str">
        <f t="shared" si="77"/>
        <v>Ge</v>
      </c>
      <c r="BN52" s="62" t="str">
        <f t="shared" si="78"/>
        <v>Ge</v>
      </c>
      <c r="BO52" s="62" t="str">
        <f t="shared" si="79"/>
        <v>Re</v>
      </c>
      <c r="BP52" s="62" t="str">
        <f t="shared" si="80"/>
        <v>Ge</v>
      </c>
    </row>
    <row r="53" spans="2:68" ht="15.75" thickBot="1" x14ac:dyDescent="0.3">
      <c r="C53" s="6"/>
      <c r="D53" s="2"/>
      <c r="F53" s="30">
        <f t="shared" si="54"/>
        <v>0</v>
      </c>
      <c r="G53" s="51"/>
      <c r="I53" s="6"/>
      <c r="J53" s="7"/>
      <c r="K53" s="39"/>
      <c r="L53" s="40" t="str">
        <f t="shared" si="55"/>
        <v/>
      </c>
      <c r="Q53" s="12"/>
      <c r="R53" s="63" t="str">
        <f t="shared" si="64"/>
        <v>Politik-Wirtschaft</v>
      </c>
      <c r="S53" s="63" t="str">
        <f t="shared" si="56"/>
        <v>Politik-Wirtschaft</v>
      </c>
      <c r="T53" s="63">
        <f t="shared" si="56"/>
        <v>0</v>
      </c>
      <c r="U53" s="63" t="str">
        <f t="shared" si="56"/>
        <v>Politik-Wirtschaft</v>
      </c>
      <c r="W53" s="11"/>
      <c r="X53" s="11"/>
      <c r="Y53" s="11"/>
      <c r="AL53" s="14" t="s">
        <v>54</v>
      </c>
      <c r="AM53" s="14" t="s">
        <v>54</v>
      </c>
      <c r="AN53" s="14"/>
      <c r="AO53" s="14" t="s">
        <v>54</v>
      </c>
      <c r="AQ53" s="60">
        <v>4</v>
      </c>
      <c r="AS53" s="62" t="str">
        <f>IF(AL53="","",IF(OR(AL53="Fr",AL53="La",AL53="Sn"),IF(AL53&lt;&gt;IFERROR(VLOOKUP(Wahlbogen!$B$6,F!$A$2:$C$22,3,0),"Sp"),"",AL53),AL53))</f>
        <v/>
      </c>
      <c r="AT53" s="62" t="str">
        <f>IF(AM53="","",IF(OR(AM53="Fr",AM53="La",AM53="Sn"),IF(AM53&lt;&gt;IFERROR(VLOOKUP(Wahlbogen!$B$6,F!$A$2:$C$22,3,0),"Sp"),"",AM53),AM53))</f>
        <v/>
      </c>
      <c r="AU53" s="62" t="str">
        <f>IF(AN53="","",IF(OR(AN53="Fr",AN53="La",AN53="Sn"),IF(AN53&lt;&gt;IFERROR(VLOOKUP(Wahlbogen!$B$6,F!$A$2:$C$22,3,0),"Sp"),"",AN53),AN53))</f>
        <v/>
      </c>
      <c r="AV53" s="62" t="str">
        <f>IF(AO53="","",IF(OR(AO53="Fr",AO53="La",AO53="Sn"),IF(AO53&lt;&gt;IFERROR(VLOOKUP(Wahlbogen!$B$6,F!$A$2:$C$22,3,0),"Sp"),"",AO53),AO53))</f>
        <v/>
      </c>
      <c r="AX53" s="62" t="str">
        <f t="shared" si="65"/>
        <v/>
      </c>
      <c r="AY53" s="62" t="str">
        <f t="shared" si="66"/>
        <v/>
      </c>
      <c r="AZ53" s="62" t="str">
        <f t="shared" si="67"/>
        <v/>
      </c>
      <c r="BA53" s="62" t="str">
        <f t="shared" si="68"/>
        <v/>
      </c>
      <c r="BC53" s="62" t="str">
        <f t="shared" si="69"/>
        <v/>
      </c>
      <c r="BD53" s="62" t="str">
        <f t="shared" si="70"/>
        <v/>
      </c>
      <c r="BE53" s="62" t="str">
        <f t="shared" si="71"/>
        <v/>
      </c>
      <c r="BF53" s="62" t="str">
        <f t="shared" si="72"/>
        <v/>
      </c>
      <c r="BH53" s="62" t="str">
        <f t="shared" si="73"/>
        <v/>
      </c>
      <c r="BI53" s="62" t="str">
        <f t="shared" si="74"/>
        <v/>
      </c>
      <c r="BJ53" s="62" t="str">
        <f t="shared" si="75"/>
        <v/>
      </c>
      <c r="BK53" s="62" t="str">
        <f t="shared" si="76"/>
        <v/>
      </c>
      <c r="BM53" s="62" t="str">
        <f t="shared" si="77"/>
        <v>Po</v>
      </c>
      <c r="BN53" s="62" t="str">
        <f t="shared" si="78"/>
        <v>Po</v>
      </c>
      <c r="BO53" s="62" t="str">
        <f t="shared" si="79"/>
        <v/>
      </c>
      <c r="BP53" s="62" t="str">
        <f t="shared" si="80"/>
        <v>Po</v>
      </c>
    </row>
    <row r="54" spans="2:68" x14ac:dyDescent="0.25">
      <c r="B54" s="35" t="s">
        <v>136</v>
      </c>
      <c r="C54" s="3">
        <v>1</v>
      </c>
      <c r="D54" s="118" t="s">
        <v>127</v>
      </c>
      <c r="E54" s="119"/>
      <c r="F54" s="120" t="str">
        <f>IF(C54="",0,CONCATENATE("B",C54,": ",D54))</f>
        <v>B1: Badminton</v>
      </c>
      <c r="G54" s="121"/>
      <c r="Q54" s="12"/>
      <c r="R54" s="63" t="str">
        <f t="shared" si="64"/>
        <v>Erdkunde</v>
      </c>
      <c r="S54" s="63" t="str">
        <f t="shared" si="56"/>
        <v>Erdkunde</v>
      </c>
      <c r="T54" s="63">
        <f t="shared" si="56"/>
        <v>0</v>
      </c>
      <c r="U54" s="63" t="str">
        <f t="shared" si="56"/>
        <v>Erdkunde</v>
      </c>
      <c r="W54" s="11"/>
      <c r="X54" s="11"/>
      <c r="Y54" s="11"/>
      <c r="AL54" s="14" t="s">
        <v>59</v>
      </c>
      <c r="AM54" s="14" t="s">
        <v>59</v>
      </c>
      <c r="AN54" s="14" t="s">
        <v>19</v>
      </c>
      <c r="AO54" s="14" t="s">
        <v>59</v>
      </c>
      <c r="AQ54" s="60">
        <v>5</v>
      </c>
      <c r="AS54" s="62" t="str">
        <f>IF(AL54="","",IF(OR(AL54="Fr",AL54="La",AL54="Sn"),IF(AL54&lt;&gt;IFERROR(VLOOKUP(Wahlbogen!$B$6,F!$A$2:$C$22,3,0),"Sp"),"",AL54),AL54))</f>
        <v/>
      </c>
      <c r="AT54" s="62" t="str">
        <f>IF(AM54="","",IF(OR(AM54="Fr",AM54="La",AM54="Sn"),IF(AM54&lt;&gt;IFERROR(VLOOKUP(Wahlbogen!$B$6,F!$A$2:$C$22,3,0),"Sp"),"",AM54),AM54))</f>
        <v/>
      </c>
      <c r="AU54" s="62" t="str">
        <f>IF(AN54="","",IF(OR(AN54="Fr",AN54="La",AN54="Sn"),IF(AN54&lt;&gt;IFERROR(VLOOKUP(Wahlbogen!$B$6,F!$A$2:$C$22,3,0),"Sp"),"",AN54),AN54))</f>
        <v/>
      </c>
      <c r="AV54" s="62" t="str">
        <f>IF(AO54="","",IF(OR(AO54="Fr",AO54="La",AO54="Sn"),IF(AO54&lt;&gt;IFERROR(VLOOKUP(Wahlbogen!$B$6,F!$A$2:$C$22,3,0),"Sp"),"",AO54),AO54))</f>
        <v/>
      </c>
      <c r="AX54" s="62" t="str">
        <f t="shared" si="65"/>
        <v/>
      </c>
      <c r="AY54" s="62" t="str">
        <f t="shared" si="66"/>
        <v/>
      </c>
      <c r="AZ54" s="62" t="str">
        <f t="shared" si="67"/>
        <v/>
      </c>
      <c r="BA54" s="62" t="str">
        <f t="shared" si="68"/>
        <v/>
      </c>
      <c r="BC54" s="62" t="str">
        <f t="shared" si="69"/>
        <v/>
      </c>
      <c r="BD54" s="62" t="str">
        <f t="shared" si="70"/>
        <v/>
      </c>
      <c r="BE54" s="62" t="str">
        <f t="shared" si="71"/>
        <v/>
      </c>
      <c r="BF54" s="62" t="str">
        <f t="shared" si="72"/>
        <v/>
      </c>
      <c r="BH54" s="62" t="str">
        <f t="shared" si="73"/>
        <v/>
      </c>
      <c r="BI54" s="62" t="str">
        <f t="shared" si="74"/>
        <v/>
      </c>
      <c r="BJ54" s="62" t="str">
        <f t="shared" si="75"/>
        <v/>
      </c>
      <c r="BK54" s="62" t="str">
        <f t="shared" si="76"/>
        <v/>
      </c>
      <c r="BM54" s="62" t="str">
        <f t="shared" si="77"/>
        <v>Ek</v>
      </c>
      <c r="BN54" s="62" t="str">
        <f t="shared" si="78"/>
        <v>Ek</v>
      </c>
      <c r="BO54" s="62" t="str">
        <f t="shared" si="79"/>
        <v/>
      </c>
      <c r="BP54" s="62" t="str">
        <f t="shared" si="80"/>
        <v>Ek</v>
      </c>
    </row>
    <row r="55" spans="2:68" ht="19.5" thickBot="1" x14ac:dyDescent="0.35">
      <c r="C55" s="5">
        <v>2</v>
      </c>
      <c r="D55" s="2" t="s">
        <v>128</v>
      </c>
      <c r="F55" s="30" t="str">
        <f t="shared" ref="F55:F65" si="81">IF(C55="",0,CONCATENATE("B",C55,": ",D55))</f>
        <v>B2: Basketball</v>
      </c>
      <c r="G55" s="51"/>
      <c r="H55" s="48"/>
      <c r="Q55" s="12"/>
      <c r="R55" s="63" t="str">
        <f t="shared" si="64"/>
        <v>Ev. Religion</v>
      </c>
      <c r="S55" s="63" t="str">
        <f t="shared" si="56"/>
        <v>Ev. Religion</v>
      </c>
      <c r="T55" s="63">
        <f t="shared" si="56"/>
        <v>0</v>
      </c>
      <c r="U55" s="63" t="str">
        <f t="shared" si="56"/>
        <v>Ev. Religion</v>
      </c>
      <c r="W55" s="11"/>
      <c r="X55" s="11"/>
      <c r="Y55" s="11"/>
      <c r="AL55" s="14" t="s">
        <v>19</v>
      </c>
      <c r="AM55" s="14"/>
      <c r="AN55" s="14" t="s">
        <v>19</v>
      </c>
      <c r="AO55" s="14" t="s">
        <v>19</v>
      </c>
      <c r="AQ55" s="60">
        <v>6</v>
      </c>
      <c r="AS55" s="62" t="str">
        <f>IF(AL55="","",IF(OR(AL55="Fr",AL55="La",AL55="Sn"),IF(AL55&lt;&gt;IFERROR(VLOOKUP(Wahlbogen!$B$6,F!$A$2:$C$22,3,0),"Sp"),"",AL55),AL55))</f>
        <v/>
      </c>
      <c r="AT55" s="62" t="str">
        <f>IF(AM55="","",IF(OR(AM55="Fr",AM55="La",AM55="Sn"),IF(AM55&lt;&gt;IFERROR(VLOOKUP(Wahlbogen!$B$6,F!$A$2:$C$22,3,0),"Sp"),"",AM55),AM55))</f>
        <v/>
      </c>
      <c r="AU55" s="62" t="str">
        <f>IF(AN55="","",IF(OR(AN55="Fr",AN55="La",AN55="Sn"),IF(AN55&lt;&gt;IFERROR(VLOOKUP(Wahlbogen!$B$6,F!$A$2:$C$22,3,0),"Sp"),"",AN55),AN55))</f>
        <v/>
      </c>
      <c r="AV55" s="62" t="str">
        <f>IF(AO55="","",IF(OR(AO55="Fr",AO55="La",AO55="Sn"),IF(AO55&lt;&gt;IFERROR(VLOOKUP(Wahlbogen!$B$6,F!$A$2:$C$22,3,0),"Sp"),"",AO55),AO55))</f>
        <v/>
      </c>
      <c r="AX55" s="62" t="str">
        <f t="shared" si="65"/>
        <v/>
      </c>
      <c r="AY55" s="62" t="str">
        <f t="shared" si="66"/>
        <v/>
      </c>
      <c r="AZ55" s="62" t="str">
        <f t="shared" si="67"/>
        <v/>
      </c>
      <c r="BA55" s="62" t="str">
        <f t="shared" si="68"/>
        <v/>
      </c>
      <c r="BC55" s="62" t="str">
        <f t="shared" si="69"/>
        <v/>
      </c>
      <c r="BD55" s="62" t="str">
        <f t="shared" si="70"/>
        <v/>
      </c>
      <c r="BE55" s="62" t="str">
        <f t="shared" si="71"/>
        <v/>
      </c>
      <c r="BF55" s="62" t="str">
        <f t="shared" si="72"/>
        <v/>
      </c>
      <c r="BH55" s="62" t="str">
        <f t="shared" si="73"/>
        <v/>
      </c>
      <c r="BI55" s="62" t="str">
        <f t="shared" si="74"/>
        <v/>
      </c>
      <c r="BJ55" s="62" t="str">
        <f t="shared" si="75"/>
        <v/>
      </c>
      <c r="BK55" s="62" t="str">
        <f t="shared" si="76"/>
        <v/>
      </c>
      <c r="BM55" s="62" t="str">
        <f t="shared" si="77"/>
        <v>Re</v>
      </c>
      <c r="BN55" s="62" t="str">
        <f t="shared" si="78"/>
        <v>Re</v>
      </c>
      <c r="BO55" s="62" t="str">
        <f t="shared" si="79"/>
        <v/>
      </c>
      <c r="BP55" s="62" t="str">
        <f t="shared" si="80"/>
        <v>Re</v>
      </c>
    </row>
    <row r="56" spans="2:68" ht="15.75" thickBot="1" x14ac:dyDescent="0.3">
      <c r="C56" s="5">
        <v>3</v>
      </c>
      <c r="D56" s="2" t="s">
        <v>140</v>
      </c>
      <c r="F56" s="30" t="str">
        <f t="shared" si="81"/>
        <v>B3: Endzonenspiele</v>
      </c>
      <c r="G56" s="51"/>
      <c r="L56" s="56">
        <f>MATCH("",L57:L82,-1)</f>
        <v>19</v>
      </c>
      <c r="Q56" s="12"/>
      <c r="R56" s="63" t="str">
        <f t="shared" si="64"/>
        <v>Mathematik</v>
      </c>
      <c r="S56" s="63" t="str">
        <f t="shared" si="56"/>
        <v>Mathematik</v>
      </c>
      <c r="T56" s="63">
        <f t="shared" si="56"/>
        <v>0</v>
      </c>
      <c r="U56" s="63" t="str">
        <f t="shared" si="56"/>
        <v>Mathematik</v>
      </c>
      <c r="W56" s="11"/>
      <c r="X56" s="11"/>
      <c r="Y56" s="11"/>
      <c r="AL56" s="14" t="s">
        <v>48</v>
      </c>
      <c r="AM56" s="14" t="s">
        <v>48</v>
      </c>
      <c r="AN56" s="14" t="s">
        <v>48</v>
      </c>
      <c r="AO56" s="14" t="s">
        <v>48</v>
      </c>
      <c r="AQ56" s="60">
        <v>7</v>
      </c>
      <c r="AS56" s="62" t="str">
        <f>IF(AL56="","",IF(OR(AL56="Fr",AL56="La",AL56="Sn"),IF(AL56&lt;&gt;IFERROR(VLOOKUP(Wahlbogen!$B$6,F!$A$2:$C$22,3,0),"Sp"),"",AL56),AL56))</f>
        <v>Re</v>
      </c>
      <c r="AT56" s="62" t="str">
        <f>IF(AM56="","",IF(OR(AM56="Fr",AM56="La",AM56="Sn"),IF(AM56&lt;&gt;IFERROR(VLOOKUP(Wahlbogen!$B$6,F!$A$2:$C$22,3,0),"Sp"),"",AM56),AM56))</f>
        <v>Re</v>
      </c>
      <c r="AU56" s="62" t="str">
        <f>IF(AN56="","",IF(OR(AN56="Fr",AN56="La",AN56="Sn"),IF(AN56&lt;&gt;IFERROR(VLOOKUP(Wahlbogen!$B$6,F!$A$2:$C$22,3,0),"Sp"),"",AN56),AN56))</f>
        <v>Re</v>
      </c>
      <c r="AV56" s="62" t="str">
        <f>IF(AO56="","",IF(OR(AO56="Fr",AO56="La",AO56="Sn"),IF(AO56&lt;&gt;IFERROR(VLOOKUP(Wahlbogen!$B$6,F!$A$2:$C$22,3,0),"Sp"),"",AO56),AO56))</f>
        <v>Re</v>
      </c>
      <c r="AX56" s="62">
        <f t="shared" si="65"/>
        <v>13</v>
      </c>
      <c r="AY56" s="62">
        <f t="shared" si="66"/>
        <v>13</v>
      </c>
      <c r="AZ56" s="62">
        <f t="shared" si="67"/>
        <v>13</v>
      </c>
      <c r="BA56" s="62">
        <f t="shared" si="68"/>
        <v>13</v>
      </c>
      <c r="BC56" s="62">
        <f t="shared" si="69"/>
        <v>6</v>
      </c>
      <c r="BD56" s="62">
        <f t="shared" si="70"/>
        <v>6</v>
      </c>
      <c r="BE56" s="62">
        <f t="shared" si="71"/>
        <v>3</v>
      </c>
      <c r="BF56" s="62">
        <f t="shared" si="72"/>
        <v>6</v>
      </c>
      <c r="BH56" s="62" t="str">
        <f t="shared" si="73"/>
        <v>Re</v>
      </c>
      <c r="BI56" s="62" t="str">
        <f t="shared" si="74"/>
        <v>Re</v>
      </c>
      <c r="BJ56" s="62" t="str">
        <f t="shared" si="75"/>
        <v>Re</v>
      </c>
      <c r="BK56" s="62" t="str">
        <f t="shared" si="76"/>
        <v>Re</v>
      </c>
      <c r="BM56" s="62" t="str">
        <f t="shared" si="77"/>
        <v>Ma</v>
      </c>
      <c r="BN56" s="62" t="str">
        <f t="shared" si="78"/>
        <v>Ma</v>
      </c>
      <c r="BO56" s="62" t="str">
        <f t="shared" si="79"/>
        <v/>
      </c>
      <c r="BP56" s="62" t="str">
        <f t="shared" si="80"/>
        <v>Ma</v>
      </c>
    </row>
    <row r="57" spans="2:68" x14ac:dyDescent="0.25">
      <c r="C57" s="5">
        <v>4</v>
      </c>
      <c r="D57" s="2" t="s">
        <v>129</v>
      </c>
      <c r="F57" s="30" t="str">
        <f t="shared" si="81"/>
        <v>B4: Fußball</v>
      </c>
      <c r="G57" s="51"/>
      <c r="L57" s="53" t="s">
        <v>188</v>
      </c>
      <c r="Q57" s="12"/>
      <c r="R57" s="63" t="str">
        <f t="shared" si="64"/>
        <v>Biologie</v>
      </c>
      <c r="S57" s="63" t="str">
        <f t="shared" si="56"/>
        <v>Biologie</v>
      </c>
      <c r="T57" s="63">
        <f t="shared" si="56"/>
        <v>0</v>
      </c>
      <c r="U57" s="63" t="str">
        <f t="shared" si="56"/>
        <v>Biologie</v>
      </c>
      <c r="W57" s="11"/>
      <c r="X57" s="11"/>
      <c r="Y57" s="11"/>
      <c r="AB57" s="18" t="s">
        <v>123</v>
      </c>
      <c r="AL57" s="14" t="s">
        <v>50</v>
      </c>
      <c r="AM57" s="14" t="s">
        <v>50</v>
      </c>
      <c r="AN57" s="14" t="s">
        <v>19</v>
      </c>
      <c r="AO57" s="14" t="s">
        <v>50</v>
      </c>
      <c r="AQ57" s="60">
        <v>8</v>
      </c>
      <c r="AS57" s="62" t="str">
        <f>IF(AL57="","",IF(OR(AL57="Fr",AL57="La",AL57="Sn"),IF(AL57&lt;&gt;IFERROR(VLOOKUP(Wahlbogen!$B$6,F!$A$2:$C$22,3,0),"Sp"),"",AL57),AL57))</f>
        <v>Ge</v>
      </c>
      <c r="AT57" s="62" t="str">
        <f>IF(AM57="","",IF(OR(AM57="Fr",AM57="La",AM57="Sn"),IF(AM57&lt;&gt;IFERROR(VLOOKUP(Wahlbogen!$B$6,F!$A$2:$C$22,3,0),"Sp"),"",AM57),AM57))</f>
        <v>Ge</v>
      </c>
      <c r="AU57" s="62" t="str">
        <f>IF(AN57="","",IF(OR(AN57="Fr",AN57="La",AN57="Sn"),IF(AN57&lt;&gt;IFERROR(VLOOKUP(Wahlbogen!$B$6,F!$A$2:$C$22,3,0),"Sp"),"",AN57),AN57))</f>
        <v/>
      </c>
      <c r="AV57" s="62" t="str">
        <f>IF(AO57="","",IF(OR(AO57="Fr",AO57="La",AO57="Sn"),IF(AO57&lt;&gt;IFERROR(VLOOKUP(Wahlbogen!$B$6,F!$A$2:$C$22,3,0),"Sp"),"",AO57),AO57))</f>
        <v>Ge</v>
      </c>
      <c r="AX57" s="62">
        <f t="shared" si="65"/>
        <v>10</v>
      </c>
      <c r="AY57" s="62">
        <f t="shared" si="66"/>
        <v>10</v>
      </c>
      <c r="AZ57" s="62" t="str">
        <f t="shared" si="67"/>
        <v/>
      </c>
      <c r="BA57" s="62">
        <f t="shared" si="68"/>
        <v>10</v>
      </c>
      <c r="BC57" s="62">
        <f t="shared" si="69"/>
        <v>3</v>
      </c>
      <c r="BD57" s="62">
        <f t="shared" si="70"/>
        <v>3</v>
      </c>
      <c r="BE57" s="62" t="str">
        <f t="shared" si="71"/>
        <v/>
      </c>
      <c r="BF57" s="62">
        <f t="shared" si="72"/>
        <v>3</v>
      </c>
      <c r="BH57" s="62" t="str">
        <f t="shared" si="73"/>
        <v>Ge</v>
      </c>
      <c r="BI57" s="62" t="str">
        <f t="shared" si="74"/>
        <v>Ge</v>
      </c>
      <c r="BJ57" s="62" t="str">
        <f t="shared" si="75"/>
        <v/>
      </c>
      <c r="BK57" s="62" t="str">
        <f t="shared" si="76"/>
        <v>Ge</v>
      </c>
      <c r="BM57" s="62" t="str">
        <f t="shared" si="77"/>
        <v>Bi</v>
      </c>
      <c r="BN57" s="62" t="str">
        <f t="shared" si="78"/>
        <v>Bi</v>
      </c>
      <c r="BO57" s="62" t="str">
        <f t="shared" si="79"/>
        <v/>
      </c>
      <c r="BP57" s="62" t="str">
        <f t="shared" si="80"/>
        <v>Bi</v>
      </c>
    </row>
    <row r="58" spans="2:68" x14ac:dyDescent="0.25">
      <c r="C58" s="5">
        <v>5</v>
      </c>
      <c r="D58" s="2" t="s">
        <v>130</v>
      </c>
      <c r="F58" s="30" t="str">
        <f t="shared" si="81"/>
        <v>B5: Hockey</v>
      </c>
      <c r="G58" s="51"/>
      <c r="L58" s="54" t="s">
        <v>2</v>
      </c>
      <c r="Q58" s="12"/>
      <c r="R58" s="63" t="str">
        <f t="shared" si="64"/>
        <v>Chemie</v>
      </c>
      <c r="S58" s="63" t="str">
        <f t="shared" si="56"/>
        <v>Chemie</v>
      </c>
      <c r="T58" s="63">
        <f t="shared" si="56"/>
        <v>0</v>
      </c>
      <c r="U58" s="63" t="str">
        <f t="shared" si="56"/>
        <v>Chemie</v>
      </c>
      <c r="W58" s="11"/>
      <c r="X58" s="11"/>
      <c r="Y58" s="11"/>
      <c r="AB58" s="18" t="s">
        <v>124</v>
      </c>
      <c r="AL58" s="14" t="s">
        <v>58</v>
      </c>
      <c r="AM58" s="14" t="s">
        <v>58</v>
      </c>
      <c r="AN58" s="14" t="s">
        <v>58</v>
      </c>
      <c r="AO58" s="14" t="s">
        <v>58</v>
      </c>
      <c r="AQ58" s="60">
        <v>9</v>
      </c>
      <c r="AS58" s="62" t="str">
        <f>IF(AL58="","",IF(OR(AL58="Fr",AL58="La",AL58="Sn"),IF(AL58&lt;&gt;IFERROR(VLOOKUP(Wahlbogen!$B$6,F!$A$2:$C$22,3,0),"Sp"),"",AL58),AL58))</f>
        <v>Po</v>
      </c>
      <c r="AT58" s="62" t="str">
        <f>IF(AM58="","",IF(OR(AM58="Fr",AM58="La",AM58="Sn"),IF(AM58&lt;&gt;IFERROR(VLOOKUP(Wahlbogen!$B$6,F!$A$2:$C$22,3,0),"Sp"),"",AM58),AM58))</f>
        <v>Po</v>
      </c>
      <c r="AU58" s="62" t="str">
        <f>IF(AN58="","",IF(OR(AN58="Fr",AN58="La",AN58="Sn"),IF(AN58&lt;&gt;IFERROR(VLOOKUP(Wahlbogen!$B$6,F!$A$2:$C$22,3,0),"Sp"),"",AN58),AN58))</f>
        <v>Po</v>
      </c>
      <c r="AV58" s="62" t="str">
        <f>IF(AO58="","",IF(OR(AO58="Fr",AO58="La",AO58="Sn"),IF(AO58&lt;&gt;IFERROR(VLOOKUP(Wahlbogen!$B$6,F!$A$2:$C$22,3,0),"Sp"),"",AO58),AO58))</f>
        <v>Po</v>
      </c>
      <c r="AX58" s="62">
        <f t="shared" si="65"/>
        <v>11</v>
      </c>
      <c r="AY58" s="62">
        <f t="shared" si="66"/>
        <v>11</v>
      </c>
      <c r="AZ58" s="62">
        <f t="shared" si="67"/>
        <v>11</v>
      </c>
      <c r="BA58" s="62">
        <f t="shared" si="68"/>
        <v>11</v>
      </c>
      <c r="BC58" s="62">
        <f t="shared" si="69"/>
        <v>4</v>
      </c>
      <c r="BD58" s="62">
        <f t="shared" si="70"/>
        <v>4</v>
      </c>
      <c r="BE58" s="62">
        <f t="shared" si="71"/>
        <v>1</v>
      </c>
      <c r="BF58" s="62">
        <f t="shared" si="72"/>
        <v>4</v>
      </c>
      <c r="BH58" s="62" t="str">
        <f t="shared" si="73"/>
        <v>Po</v>
      </c>
      <c r="BI58" s="62" t="str">
        <f t="shared" si="74"/>
        <v>Po</v>
      </c>
      <c r="BJ58" s="62" t="str">
        <f t="shared" si="75"/>
        <v>Po</v>
      </c>
      <c r="BK58" s="62" t="str">
        <f t="shared" si="76"/>
        <v>Po</v>
      </c>
      <c r="BM58" s="62" t="str">
        <f t="shared" si="77"/>
        <v>Ch</v>
      </c>
      <c r="BN58" s="62" t="str">
        <f t="shared" si="78"/>
        <v>Ch</v>
      </c>
      <c r="BO58" s="62" t="str">
        <f t="shared" si="79"/>
        <v/>
      </c>
      <c r="BP58" s="62" t="str">
        <f t="shared" si="80"/>
        <v>Ch</v>
      </c>
    </row>
    <row r="59" spans="2:68" x14ac:dyDescent="0.25">
      <c r="C59" s="5">
        <v>6</v>
      </c>
      <c r="D59" s="2" t="s">
        <v>131</v>
      </c>
      <c r="F59" s="30" t="str">
        <f t="shared" si="81"/>
        <v>B6: Volleyball</v>
      </c>
      <c r="G59" s="51"/>
      <c r="L59" s="54" t="s">
        <v>189</v>
      </c>
      <c r="Q59" s="12"/>
      <c r="R59" s="63" t="str">
        <f t="shared" si="64"/>
        <v>Physik</v>
      </c>
      <c r="S59" s="63" t="str">
        <f t="shared" si="56"/>
        <v>Physik</v>
      </c>
      <c r="T59" s="63">
        <f t="shared" si="56"/>
        <v>0</v>
      </c>
      <c r="U59" s="63" t="str">
        <f t="shared" si="56"/>
        <v>Physik</v>
      </c>
      <c r="W59" s="11"/>
      <c r="X59" s="11"/>
      <c r="Y59" s="11"/>
      <c r="AL59" s="14" t="s">
        <v>47</v>
      </c>
      <c r="AM59" s="14" t="s">
        <v>47</v>
      </c>
      <c r="AN59" s="14" t="s">
        <v>47</v>
      </c>
      <c r="AO59" s="14" t="s">
        <v>47</v>
      </c>
      <c r="AQ59" s="60">
        <v>10</v>
      </c>
      <c r="AS59" s="62" t="str">
        <f>IF(AL59="","",IF(OR(AL59="Fr",AL59="La",AL59="Sn"),IF(AL59&lt;&gt;IFERROR(VLOOKUP(Wahlbogen!$B$6,F!$A$2:$C$22,3,0),"Sp"),"",AL59),AL59))</f>
        <v>Ek</v>
      </c>
      <c r="AT59" s="62" t="str">
        <f>IF(AM59="","",IF(OR(AM59="Fr",AM59="La",AM59="Sn"),IF(AM59&lt;&gt;IFERROR(VLOOKUP(Wahlbogen!$B$6,F!$A$2:$C$22,3,0),"Sp"),"",AM59),AM59))</f>
        <v>Ek</v>
      </c>
      <c r="AU59" s="62" t="str">
        <f>IF(AN59="","",IF(OR(AN59="Fr",AN59="La",AN59="Sn"),IF(AN59&lt;&gt;IFERROR(VLOOKUP(Wahlbogen!$B$6,F!$A$2:$C$22,3,0),"Sp"),"",AN59),AN59))</f>
        <v>Ek</v>
      </c>
      <c r="AV59" s="62" t="str">
        <f>IF(AO59="","",IF(OR(AO59="Fr",AO59="La",AO59="Sn"),IF(AO59&lt;&gt;IFERROR(VLOOKUP(Wahlbogen!$B$6,F!$A$2:$C$22,3,0),"Sp"),"",AO59),AO59))</f>
        <v>Ek</v>
      </c>
      <c r="AX59" s="62">
        <f t="shared" si="65"/>
        <v>12</v>
      </c>
      <c r="AY59" s="62">
        <f t="shared" si="66"/>
        <v>12</v>
      </c>
      <c r="AZ59" s="62">
        <f t="shared" si="67"/>
        <v>12</v>
      </c>
      <c r="BA59" s="62">
        <f t="shared" si="68"/>
        <v>12</v>
      </c>
      <c r="BC59" s="62">
        <f t="shared" si="69"/>
        <v>5</v>
      </c>
      <c r="BD59" s="62">
        <f t="shared" si="70"/>
        <v>5</v>
      </c>
      <c r="BE59" s="62">
        <f t="shared" si="71"/>
        <v>2</v>
      </c>
      <c r="BF59" s="62">
        <f t="shared" si="72"/>
        <v>5</v>
      </c>
      <c r="BH59" s="62" t="str">
        <f t="shared" si="73"/>
        <v>Ek</v>
      </c>
      <c r="BI59" s="62" t="str">
        <f t="shared" si="74"/>
        <v>Ek</v>
      </c>
      <c r="BJ59" s="62" t="str">
        <f t="shared" si="75"/>
        <v>Ek</v>
      </c>
      <c r="BK59" s="62" t="str">
        <f t="shared" si="76"/>
        <v>Ek</v>
      </c>
      <c r="BM59" s="62" t="str">
        <f t="shared" si="77"/>
        <v>Ph</v>
      </c>
      <c r="BN59" s="62" t="str">
        <f t="shared" si="78"/>
        <v>Ph</v>
      </c>
      <c r="BO59" s="62" t="str">
        <f t="shared" si="79"/>
        <v/>
      </c>
      <c r="BP59" s="62" t="str">
        <f t="shared" si="80"/>
        <v>Ph</v>
      </c>
    </row>
    <row r="60" spans="2:68" x14ac:dyDescent="0.25">
      <c r="C60" s="5">
        <v>7</v>
      </c>
      <c r="D60" s="2" t="s">
        <v>228</v>
      </c>
      <c r="F60" s="30" t="str">
        <f t="shared" si="81"/>
        <v>B7: Tennis</v>
      </c>
      <c r="G60" s="51" t="s">
        <v>280</v>
      </c>
      <c r="L60" s="54" t="s">
        <v>16</v>
      </c>
      <c r="Q60" s="12"/>
      <c r="R60" s="63">
        <f t="shared" si="64"/>
        <v>0</v>
      </c>
      <c r="S60" s="63">
        <f t="shared" si="56"/>
        <v>0</v>
      </c>
      <c r="T60" s="63">
        <f t="shared" si="56"/>
        <v>0</v>
      </c>
      <c r="U60" s="63" t="str">
        <f t="shared" si="56"/>
        <v>Informatik</v>
      </c>
      <c r="W60" s="11"/>
      <c r="X60" s="11"/>
      <c r="Y60" s="11"/>
      <c r="AL60" s="14"/>
      <c r="AM60" s="14"/>
      <c r="AN60" s="14" t="s">
        <v>19</v>
      </c>
      <c r="AO60" s="14"/>
      <c r="AQ60" s="60">
        <v>11</v>
      </c>
      <c r="AS60" s="62" t="str">
        <f>IF(AL60="","",IF(OR(AL60="Fr",AL60="La",AL60="Sn"),IF(AL60&lt;&gt;IFERROR(VLOOKUP(Wahlbogen!$B$6,F!$A$2:$C$22,3,0),"Sp"),"",AL60),AL60))</f>
        <v/>
      </c>
      <c r="AT60" s="62" t="str">
        <f>IF(AM60="","",IF(OR(AM60="Fr",AM60="La",AM60="Sn"),IF(AM60&lt;&gt;IFERROR(VLOOKUP(Wahlbogen!$B$6,F!$A$2:$C$22,3,0),"Sp"),"",AM60),AM60))</f>
        <v/>
      </c>
      <c r="AU60" s="62" t="str">
        <f>IF(AN60="","",IF(OR(AN60="Fr",AN60="La",AN60="Sn"),IF(AN60&lt;&gt;IFERROR(VLOOKUP(Wahlbogen!$B$6,F!$A$2:$C$22,3,0),"Sp"),"",AN60),AN60))</f>
        <v/>
      </c>
      <c r="AV60" s="62" t="str">
        <f>IF(AO60="","",IF(OR(AO60="Fr",AO60="La",AO60="Sn"),IF(AO60&lt;&gt;IFERROR(VLOOKUP(Wahlbogen!$B$6,F!$A$2:$C$22,3,0),"Sp"),"",AO60),AO60))</f>
        <v/>
      </c>
      <c r="AX60" s="62" t="str">
        <f t="shared" si="65"/>
        <v/>
      </c>
      <c r="AY60" s="62" t="str">
        <f t="shared" si="66"/>
        <v/>
      </c>
      <c r="AZ60" s="62" t="str">
        <f t="shared" si="67"/>
        <v/>
      </c>
      <c r="BA60" s="62" t="str">
        <f t="shared" si="68"/>
        <v/>
      </c>
      <c r="BC60" s="62" t="str">
        <f t="shared" si="69"/>
        <v/>
      </c>
      <c r="BD60" s="62" t="str">
        <f t="shared" si="70"/>
        <v/>
      </c>
      <c r="BE60" s="62" t="str">
        <f t="shared" si="71"/>
        <v/>
      </c>
      <c r="BF60" s="62" t="str">
        <f t="shared" si="72"/>
        <v/>
      </c>
      <c r="BH60" s="62" t="str">
        <f t="shared" si="73"/>
        <v/>
      </c>
      <c r="BI60" s="62" t="str">
        <f t="shared" si="74"/>
        <v/>
      </c>
      <c r="BJ60" s="62" t="str">
        <f t="shared" si="75"/>
        <v/>
      </c>
      <c r="BK60" s="62" t="str">
        <f t="shared" si="76"/>
        <v/>
      </c>
      <c r="BM60" s="62" t="str">
        <f t="shared" si="77"/>
        <v/>
      </c>
      <c r="BN60" s="62" t="str">
        <f t="shared" si="78"/>
        <v/>
      </c>
      <c r="BO60" s="62" t="str">
        <f t="shared" si="79"/>
        <v/>
      </c>
      <c r="BP60" s="62" t="str">
        <f t="shared" si="80"/>
        <v>If</v>
      </c>
    </row>
    <row r="61" spans="2:68" x14ac:dyDescent="0.25">
      <c r="C61" s="5"/>
      <c r="D61" s="2"/>
      <c r="F61" s="30">
        <f t="shared" si="81"/>
        <v>0</v>
      </c>
      <c r="G61" s="51"/>
      <c r="L61" s="54" t="s">
        <v>15</v>
      </c>
      <c r="Q61" s="12"/>
      <c r="R61" s="63">
        <f t="shared" si="64"/>
        <v>0</v>
      </c>
      <c r="S61" s="63">
        <f t="shared" si="56"/>
        <v>0</v>
      </c>
      <c r="T61" s="63">
        <f t="shared" si="56"/>
        <v>0</v>
      </c>
      <c r="U61" s="63">
        <f t="shared" si="56"/>
        <v>0</v>
      </c>
      <c r="W61" s="11"/>
      <c r="X61" s="11"/>
      <c r="Y61" s="11"/>
      <c r="AL61" s="14" t="s">
        <v>55</v>
      </c>
      <c r="AM61" s="14" t="s">
        <v>55</v>
      </c>
      <c r="AN61" s="14" t="s">
        <v>19</v>
      </c>
      <c r="AO61" s="14" t="s">
        <v>55</v>
      </c>
      <c r="AQ61" s="60">
        <v>12</v>
      </c>
      <c r="AS61" s="62" t="str">
        <f>IF(AL61="","",IF(OR(AL61="Fr",AL61="La",AL61="Sn"),IF(AL61&lt;&gt;IFERROR(VLOOKUP(Wahlbogen!$B$6,F!$A$2:$C$22,3,0),"Sp"),"",AL61),AL61))</f>
        <v>Ma</v>
      </c>
      <c r="AT61" s="62" t="str">
        <f>IF(AM61="","",IF(OR(AM61="Fr",AM61="La",AM61="Sn"),IF(AM61&lt;&gt;IFERROR(VLOOKUP(Wahlbogen!$B$6,F!$A$2:$C$22,3,0),"Sp"),"",AM61),AM61))</f>
        <v>Ma</v>
      </c>
      <c r="AU61" s="62" t="str">
        <f>IF(AN61="","",IF(OR(AN61="Fr",AN61="La",AN61="Sn"),IF(AN61&lt;&gt;IFERROR(VLOOKUP(Wahlbogen!$B$6,F!$A$2:$C$22,3,0),"Sp"),"",AN61),AN61))</f>
        <v/>
      </c>
      <c r="AV61" s="62" t="str">
        <f>IF(AO61="","",IF(OR(AO61="Fr",AO61="La",AO61="Sn"),IF(AO61&lt;&gt;IFERROR(VLOOKUP(Wahlbogen!$B$6,F!$A$2:$C$22,3,0),"Sp"),"",AO61),AO61))</f>
        <v>Ma</v>
      </c>
      <c r="AX61" s="62">
        <f t="shared" si="65"/>
        <v>15</v>
      </c>
      <c r="AY61" s="62">
        <f t="shared" si="66"/>
        <v>15</v>
      </c>
      <c r="AZ61" s="62" t="str">
        <f t="shared" si="67"/>
        <v/>
      </c>
      <c r="BA61" s="62">
        <f t="shared" si="68"/>
        <v>15</v>
      </c>
      <c r="BC61" s="62">
        <f t="shared" si="69"/>
        <v>7</v>
      </c>
      <c r="BD61" s="62">
        <f t="shared" si="70"/>
        <v>7</v>
      </c>
      <c r="BE61" s="62" t="str">
        <f t="shared" si="71"/>
        <v/>
      </c>
      <c r="BF61" s="62">
        <f t="shared" si="72"/>
        <v>7</v>
      </c>
      <c r="BH61" s="62" t="str">
        <f t="shared" si="73"/>
        <v>Ma</v>
      </c>
      <c r="BI61" s="62" t="str">
        <f t="shared" si="74"/>
        <v>Ma</v>
      </c>
      <c r="BJ61" s="62" t="str">
        <f t="shared" si="75"/>
        <v/>
      </c>
      <c r="BK61" s="62" t="str">
        <f t="shared" si="76"/>
        <v>Ma</v>
      </c>
      <c r="BM61" s="62" t="str">
        <f t="shared" si="77"/>
        <v/>
      </c>
      <c r="BN61" s="62" t="str">
        <f t="shared" si="78"/>
        <v/>
      </c>
      <c r="BO61" s="62" t="str">
        <f t="shared" si="79"/>
        <v/>
      </c>
      <c r="BP61" s="62" t="str">
        <f t="shared" si="80"/>
        <v/>
      </c>
    </row>
    <row r="62" spans="2:68" x14ac:dyDescent="0.25">
      <c r="C62" s="5"/>
      <c r="D62" s="2"/>
      <c r="F62" s="30">
        <f t="shared" si="81"/>
        <v>0</v>
      </c>
      <c r="G62" s="51"/>
      <c r="L62" s="54"/>
      <c r="Q62" s="12"/>
      <c r="R62" s="63">
        <f t="shared" si="64"/>
        <v>0</v>
      </c>
      <c r="S62" s="63">
        <f t="shared" si="56"/>
        <v>0</v>
      </c>
      <c r="T62" s="63">
        <f t="shared" si="56"/>
        <v>0</v>
      </c>
      <c r="U62" s="63">
        <f t="shared" si="56"/>
        <v>0</v>
      </c>
      <c r="W62" s="11"/>
      <c r="X62" s="11"/>
      <c r="Y62" s="11"/>
      <c r="AL62" s="14" t="s">
        <v>42</v>
      </c>
      <c r="AM62" s="14" t="s">
        <v>42</v>
      </c>
      <c r="AN62" s="14" t="s">
        <v>19</v>
      </c>
      <c r="AO62" s="14" t="s">
        <v>42</v>
      </c>
      <c r="AQ62" s="60">
        <v>13</v>
      </c>
      <c r="AS62" s="62" t="str">
        <f>IF(AL62="","",IF(OR(AL62="Fr",AL62="La",AL62="Sn"),IF(AL62&lt;&gt;IFERROR(VLOOKUP(Wahlbogen!$B$6,F!$A$2:$C$22,3,0),"Sp"),"",AL62),AL62))</f>
        <v>Bi</v>
      </c>
      <c r="AT62" s="62" t="str">
        <f>IF(AM62="","",IF(OR(AM62="Fr",AM62="La",AM62="Sn"),IF(AM62&lt;&gt;IFERROR(VLOOKUP(Wahlbogen!$B$6,F!$A$2:$C$22,3,0),"Sp"),"",AM62),AM62))</f>
        <v>Bi</v>
      </c>
      <c r="AU62" s="62" t="str">
        <f>IF(AN62="","",IF(OR(AN62="Fr",AN62="La",AN62="Sn"),IF(AN62&lt;&gt;IFERROR(VLOOKUP(Wahlbogen!$B$6,F!$A$2:$C$22,3,0),"Sp"),"",AN62),AN62))</f>
        <v/>
      </c>
      <c r="AV62" s="62" t="str">
        <f>IF(AO62="","",IF(OR(AO62="Fr",AO62="La",AO62="Sn"),IF(AO62&lt;&gt;IFERROR(VLOOKUP(Wahlbogen!$B$6,F!$A$2:$C$22,3,0),"Sp"),"",AO62),AO62))</f>
        <v>Bi</v>
      </c>
      <c r="AX62" s="62">
        <f t="shared" si="65"/>
        <v>16</v>
      </c>
      <c r="AY62" s="62">
        <f t="shared" si="66"/>
        <v>16</v>
      </c>
      <c r="AZ62" s="62" t="str">
        <f t="shared" si="67"/>
        <v/>
      </c>
      <c r="BA62" s="62">
        <f t="shared" si="68"/>
        <v>16</v>
      </c>
      <c r="BC62" s="62">
        <f t="shared" si="69"/>
        <v>8</v>
      </c>
      <c r="BD62" s="62">
        <f t="shared" si="70"/>
        <v>8</v>
      </c>
      <c r="BE62" s="62" t="str">
        <f t="shared" si="71"/>
        <v/>
      </c>
      <c r="BF62" s="62">
        <f t="shared" si="72"/>
        <v>8</v>
      </c>
      <c r="BH62" s="62" t="str">
        <f t="shared" si="73"/>
        <v>Bi</v>
      </c>
      <c r="BI62" s="62" t="str">
        <f t="shared" si="74"/>
        <v>Bi</v>
      </c>
      <c r="BJ62" s="62" t="str">
        <f t="shared" si="75"/>
        <v/>
      </c>
      <c r="BK62" s="62" t="str">
        <f t="shared" si="76"/>
        <v>Bi</v>
      </c>
      <c r="BM62" s="62" t="str">
        <f t="shared" si="77"/>
        <v/>
      </c>
      <c r="BN62" s="62" t="str">
        <f t="shared" si="78"/>
        <v/>
      </c>
      <c r="BO62" s="62" t="str">
        <f t="shared" si="79"/>
        <v/>
      </c>
      <c r="BP62" s="62" t="str">
        <f t="shared" si="80"/>
        <v/>
      </c>
    </row>
    <row r="63" spans="2:68" x14ac:dyDescent="0.25">
      <c r="C63" s="5"/>
      <c r="D63" s="2"/>
      <c r="F63" s="30">
        <f t="shared" si="81"/>
        <v>0</v>
      </c>
      <c r="G63" s="51"/>
      <c r="L63" s="54" t="s">
        <v>190</v>
      </c>
      <c r="Q63" s="12"/>
      <c r="R63" s="63">
        <f t="shared" si="64"/>
        <v>0</v>
      </c>
      <c r="S63" s="63">
        <f t="shared" si="56"/>
        <v>0</v>
      </c>
      <c r="T63" s="63">
        <f t="shared" si="56"/>
        <v>0</v>
      </c>
      <c r="U63" s="63">
        <f t="shared" si="56"/>
        <v>0</v>
      </c>
      <c r="W63" s="11"/>
      <c r="X63" s="11"/>
      <c r="Y63" s="11"/>
      <c r="AL63" s="14" t="s">
        <v>43</v>
      </c>
      <c r="AM63" s="14" t="s">
        <v>43</v>
      </c>
      <c r="AN63" s="14" t="s">
        <v>19</v>
      </c>
      <c r="AO63" s="14" t="s">
        <v>43</v>
      </c>
      <c r="AQ63" s="60">
        <v>14</v>
      </c>
      <c r="AS63" s="62" t="str">
        <f>IF(AL63="","",IF(OR(AL63="Fr",AL63="La",AL63="Sn"),IF(AL63&lt;&gt;IFERROR(VLOOKUP(Wahlbogen!$B$6,F!$A$2:$C$22,3,0),"Sp"),"",AL63),AL63))</f>
        <v>Ch</v>
      </c>
      <c r="AT63" s="62" t="str">
        <f>IF(AM63="","",IF(OR(AM63="Fr",AM63="La",AM63="Sn"),IF(AM63&lt;&gt;IFERROR(VLOOKUP(Wahlbogen!$B$6,F!$A$2:$C$22,3,0),"Sp"),"",AM63),AM63))</f>
        <v>Ch</v>
      </c>
      <c r="AU63" s="62" t="str">
        <f>IF(AN63="","",IF(OR(AN63="Fr",AN63="La",AN63="Sn"),IF(AN63&lt;&gt;IFERROR(VLOOKUP(Wahlbogen!$B$6,F!$A$2:$C$22,3,0),"Sp"),"",AN63),AN63))</f>
        <v/>
      </c>
      <c r="AV63" s="62" t="str">
        <f>IF(AO63="","",IF(OR(AO63="Fr",AO63="La",AO63="Sn"),IF(AO63&lt;&gt;IFERROR(VLOOKUP(Wahlbogen!$B$6,F!$A$2:$C$22,3,0),"Sp"),"",AO63),AO63))</f>
        <v>Ch</v>
      </c>
      <c r="AX63" s="62">
        <f t="shared" si="65"/>
        <v>17</v>
      </c>
      <c r="AY63" s="62">
        <f t="shared" si="66"/>
        <v>17</v>
      </c>
      <c r="AZ63" s="62" t="str">
        <f t="shared" si="67"/>
        <v/>
      </c>
      <c r="BA63" s="62">
        <f t="shared" si="68"/>
        <v>17</v>
      </c>
      <c r="BC63" s="62">
        <f t="shared" si="69"/>
        <v>9</v>
      </c>
      <c r="BD63" s="62">
        <f t="shared" si="70"/>
        <v>9</v>
      </c>
      <c r="BE63" s="62" t="str">
        <f t="shared" si="71"/>
        <v/>
      </c>
      <c r="BF63" s="62">
        <f t="shared" si="72"/>
        <v>9</v>
      </c>
      <c r="BH63" s="62" t="str">
        <f t="shared" si="73"/>
        <v>Ch</v>
      </c>
      <c r="BI63" s="62" t="str">
        <f t="shared" si="74"/>
        <v>Ch</v>
      </c>
      <c r="BJ63" s="62" t="str">
        <f t="shared" si="75"/>
        <v/>
      </c>
      <c r="BK63" s="62" t="str">
        <f t="shared" si="76"/>
        <v>Ch</v>
      </c>
      <c r="BM63" s="62" t="str">
        <f t="shared" si="77"/>
        <v/>
      </c>
      <c r="BN63" s="62" t="str">
        <f t="shared" si="78"/>
        <v/>
      </c>
      <c r="BO63" s="62" t="str">
        <f t="shared" si="79"/>
        <v/>
      </c>
      <c r="BP63" s="62" t="str">
        <f t="shared" si="80"/>
        <v/>
      </c>
    </row>
    <row r="64" spans="2:68" x14ac:dyDescent="0.25">
      <c r="C64" s="5"/>
      <c r="D64" s="2"/>
      <c r="F64" s="30">
        <f t="shared" si="81"/>
        <v>0</v>
      </c>
      <c r="G64" s="51"/>
      <c r="L64" s="54" t="s">
        <v>6</v>
      </c>
      <c r="Q64" s="12"/>
      <c r="R64" s="63">
        <f t="shared" si="64"/>
        <v>0</v>
      </c>
      <c r="S64" s="63">
        <f t="shared" si="56"/>
        <v>0</v>
      </c>
      <c r="T64" s="63">
        <f t="shared" si="56"/>
        <v>0</v>
      </c>
      <c r="U64" s="63">
        <f t="shared" si="56"/>
        <v>0</v>
      </c>
      <c r="W64" s="11"/>
      <c r="X64" s="11"/>
      <c r="Y64" s="11"/>
      <c r="AL64" s="14" t="s">
        <v>57</v>
      </c>
      <c r="AM64" s="14" t="s">
        <v>57</v>
      </c>
      <c r="AN64" s="14" t="s">
        <v>19</v>
      </c>
      <c r="AO64" s="14" t="s">
        <v>57</v>
      </c>
      <c r="AQ64" s="60">
        <v>15</v>
      </c>
      <c r="AS64" s="62" t="str">
        <f>IF(AL64="","",IF(OR(AL64="Fr",AL64="La",AL64="Sn"),IF(AL64&lt;&gt;IFERROR(VLOOKUP(Wahlbogen!$B$6,F!$A$2:$C$22,3,0),"Sp"),"",AL64),AL64))</f>
        <v>Ph</v>
      </c>
      <c r="AT64" s="62" t="str">
        <f>IF(AM64="","",IF(OR(AM64="Fr",AM64="La",AM64="Sn"),IF(AM64&lt;&gt;IFERROR(VLOOKUP(Wahlbogen!$B$6,F!$A$2:$C$22,3,0),"Sp"),"",AM64),AM64))</f>
        <v>Ph</v>
      </c>
      <c r="AU64" s="62" t="str">
        <f>IF(AN64="","",IF(OR(AN64="Fr",AN64="La",AN64="Sn"),IF(AN64&lt;&gt;IFERROR(VLOOKUP(Wahlbogen!$B$6,F!$A$2:$C$22,3,0),"Sp"),"",AN64),AN64))</f>
        <v/>
      </c>
      <c r="AV64" s="62" t="str">
        <f>IF(AO64="","",IF(OR(AO64="Fr",AO64="La",AO64="Sn"),IF(AO64&lt;&gt;IFERROR(VLOOKUP(Wahlbogen!$B$6,F!$A$2:$C$22,3,0),"Sp"),"",AO64),AO64))</f>
        <v>Ph</v>
      </c>
      <c r="AX64" s="62">
        <f t="shared" si="65"/>
        <v>18</v>
      </c>
      <c r="AY64" s="62">
        <f t="shared" si="66"/>
        <v>18</v>
      </c>
      <c r="AZ64" s="62" t="str">
        <f t="shared" si="67"/>
        <v/>
      </c>
      <c r="BA64" s="62">
        <f t="shared" si="68"/>
        <v>18</v>
      </c>
      <c r="BC64" s="62">
        <f t="shared" si="69"/>
        <v>10</v>
      </c>
      <c r="BD64" s="62">
        <f t="shared" si="70"/>
        <v>10</v>
      </c>
      <c r="BE64" s="62" t="str">
        <f t="shared" si="71"/>
        <v/>
      </c>
      <c r="BF64" s="62">
        <f t="shared" si="72"/>
        <v>10</v>
      </c>
      <c r="BH64" s="62" t="str">
        <f t="shared" si="73"/>
        <v>Ph</v>
      </c>
      <c r="BI64" s="62" t="str">
        <f t="shared" si="74"/>
        <v>Ph</v>
      </c>
      <c r="BJ64" s="62" t="str">
        <f t="shared" si="75"/>
        <v/>
      </c>
      <c r="BK64" s="62" t="str">
        <f t="shared" si="76"/>
        <v>Ph</v>
      </c>
      <c r="BM64" s="62" t="str">
        <f t="shared" si="77"/>
        <v/>
      </c>
      <c r="BN64" s="62" t="str">
        <f t="shared" si="78"/>
        <v/>
      </c>
      <c r="BO64" s="62" t="str">
        <f t="shared" si="79"/>
        <v/>
      </c>
      <c r="BP64" s="62" t="str">
        <f t="shared" si="80"/>
        <v/>
      </c>
    </row>
    <row r="65" spans="1:68" ht="15.75" thickBot="1" x14ac:dyDescent="0.3">
      <c r="C65" s="6"/>
      <c r="D65" s="7"/>
      <c r="E65" s="39"/>
      <c r="F65" s="117">
        <f t="shared" si="81"/>
        <v>0</v>
      </c>
      <c r="G65" s="52"/>
      <c r="L65" s="54" t="s">
        <v>9</v>
      </c>
      <c r="Q65" s="12"/>
      <c r="R65" s="63">
        <f t="shared" si="64"/>
        <v>0</v>
      </c>
      <c r="S65" s="63">
        <f t="shared" si="56"/>
        <v>0</v>
      </c>
      <c r="T65" s="63">
        <f t="shared" si="56"/>
        <v>0</v>
      </c>
      <c r="U65" s="63">
        <f t="shared" si="56"/>
        <v>0</v>
      </c>
      <c r="W65" s="11"/>
      <c r="X65" s="11"/>
      <c r="Y65" s="11"/>
      <c r="AL65" s="14"/>
      <c r="AM65" s="14"/>
      <c r="AN65" s="14" t="s">
        <v>19</v>
      </c>
      <c r="AO65" s="14"/>
      <c r="AQ65" s="60">
        <v>16</v>
      </c>
      <c r="AS65" s="62" t="str">
        <f>IF(AL65="","",IF(OR(AL65="Fr",AL65="La",AL65="Sn"),IF(AL65&lt;&gt;IFERROR(VLOOKUP(Wahlbogen!$B$6,F!$A$2:$C$22,3,0),"Sp"),"",AL65),AL65))</f>
        <v/>
      </c>
      <c r="AT65" s="62" t="str">
        <f>IF(AM65="","",IF(OR(AM65="Fr",AM65="La",AM65="Sn"),IF(AM65&lt;&gt;IFERROR(VLOOKUP(Wahlbogen!$B$6,F!$A$2:$C$22,3,0),"Sp"),"",AM65),AM65))</f>
        <v/>
      </c>
      <c r="AU65" s="62" t="str">
        <f>IF(AN65="","",IF(OR(AN65="Fr",AN65="La",AN65="Sn"),IF(AN65&lt;&gt;IFERROR(VLOOKUP(Wahlbogen!$B$6,F!$A$2:$C$22,3,0),"Sp"),"",AN65),AN65))</f>
        <v/>
      </c>
      <c r="AV65" s="62" t="str">
        <f>IF(AO65="","",IF(OR(AO65="Fr",AO65="La",AO65="Sn"),IF(AO65&lt;&gt;IFERROR(VLOOKUP(Wahlbogen!$B$6,F!$A$2:$C$22,3,0),"Sp"),"",AO65),AO65))</f>
        <v/>
      </c>
      <c r="AX65" s="62" t="str">
        <f t="shared" si="65"/>
        <v/>
      </c>
      <c r="AY65" s="62" t="str">
        <f t="shared" si="66"/>
        <v/>
      </c>
      <c r="AZ65" s="62" t="str">
        <f t="shared" si="67"/>
        <v/>
      </c>
      <c r="BA65" s="62" t="str">
        <f t="shared" si="68"/>
        <v/>
      </c>
      <c r="BC65" s="62" t="str">
        <f t="shared" si="69"/>
        <v/>
      </c>
      <c r="BD65" s="62" t="str">
        <f t="shared" si="70"/>
        <v/>
      </c>
      <c r="BE65" s="62" t="str">
        <f t="shared" si="71"/>
        <v/>
      </c>
      <c r="BF65" s="62" t="str">
        <f t="shared" si="72"/>
        <v/>
      </c>
      <c r="BH65" s="62" t="str">
        <f t="shared" si="73"/>
        <v/>
      </c>
      <c r="BI65" s="62" t="str">
        <f t="shared" si="74"/>
        <v/>
      </c>
      <c r="BJ65" s="62" t="str">
        <f t="shared" si="75"/>
        <v/>
      </c>
      <c r="BK65" s="62" t="str">
        <f t="shared" si="76"/>
        <v/>
      </c>
      <c r="BM65" s="62" t="str">
        <f t="shared" si="77"/>
        <v/>
      </c>
      <c r="BN65" s="62" t="str">
        <f t="shared" si="78"/>
        <v/>
      </c>
      <c r="BO65" s="62" t="str">
        <f t="shared" si="79"/>
        <v/>
      </c>
      <c r="BP65" s="62" t="str">
        <f t="shared" si="80"/>
        <v/>
      </c>
    </row>
    <row r="66" spans="1:68" x14ac:dyDescent="0.25">
      <c r="A66" s="30"/>
      <c r="L66" s="54" t="s">
        <v>8</v>
      </c>
      <c r="Q66" s="12"/>
      <c r="R66" s="63">
        <f t="shared" si="64"/>
        <v>0</v>
      </c>
      <c r="S66" s="63">
        <f t="shared" ref="S66:S77" si="82">IFERROR(VLOOKUP(BN66,$E$2:$G$22,3,0),0)</f>
        <v>0</v>
      </c>
      <c r="T66" s="63">
        <f t="shared" ref="T66:T77" si="83">IFERROR(VLOOKUP(BO66,$E$2:$G$22,3,0),0)</f>
        <v>0</v>
      </c>
      <c r="U66" s="63">
        <f t="shared" ref="U66:U77" si="84">IFERROR(VLOOKUP(BP66,$E$2:$G$22,3,0),0)</f>
        <v>0</v>
      </c>
      <c r="W66" s="11"/>
      <c r="X66" s="11"/>
      <c r="Y66" s="11"/>
      <c r="AL66" s="14"/>
      <c r="AM66" s="14" t="s">
        <v>19</v>
      </c>
      <c r="AN66" s="14" t="s">
        <v>19</v>
      </c>
      <c r="AO66" s="14" t="s">
        <v>52</v>
      </c>
      <c r="AQ66" s="60">
        <v>17</v>
      </c>
      <c r="AS66" s="62" t="str">
        <f>IF(AL66="","",IF(OR(AL66="Fr",AL66="La",AL66="Sn"),IF(AL66&lt;&gt;IFERROR(VLOOKUP(Wahlbogen!$B$6,F!$A$2:$C$22,3,0),"Sp"),"",AL66),AL66))</f>
        <v/>
      </c>
      <c r="AT66" s="62" t="str">
        <f>IF(AM66="","",IF(OR(AM66="Fr",AM66="La",AM66="Sn"),IF(AM66&lt;&gt;IFERROR(VLOOKUP(Wahlbogen!$B$6,F!$A$2:$C$22,3,0),"Sp"),"",AM66),AM66))</f>
        <v/>
      </c>
      <c r="AU66" s="62" t="str">
        <f>IF(AN66="","",IF(OR(AN66="Fr",AN66="La",AN66="Sn"),IF(AN66&lt;&gt;IFERROR(VLOOKUP(Wahlbogen!$B$6,F!$A$2:$C$22,3,0),"Sp"),"",AN66),AN66))</f>
        <v/>
      </c>
      <c r="AV66" s="62" t="str">
        <f>IF(AO66="","",IF(OR(AO66="Fr",AO66="La",AO66="Sn"),IF(AO66&lt;&gt;IFERROR(VLOOKUP(Wahlbogen!$B$6,F!$A$2:$C$22,3,0),"Sp"),"",AO66),AO66))</f>
        <v>If</v>
      </c>
      <c r="AX66" s="62" t="str">
        <f t="shared" si="65"/>
        <v/>
      </c>
      <c r="AY66" s="62" t="str">
        <f t="shared" si="66"/>
        <v/>
      </c>
      <c r="AZ66" s="62" t="str">
        <f t="shared" si="67"/>
        <v/>
      </c>
      <c r="BA66" s="62">
        <f t="shared" si="68"/>
        <v>19</v>
      </c>
      <c r="BC66" s="62" t="str">
        <f t="shared" si="69"/>
        <v/>
      </c>
      <c r="BD66" s="62" t="str">
        <f t="shared" si="70"/>
        <v/>
      </c>
      <c r="BE66" s="62" t="str">
        <f t="shared" si="71"/>
        <v/>
      </c>
      <c r="BF66" s="62">
        <f t="shared" si="72"/>
        <v>11</v>
      </c>
      <c r="BH66" s="62" t="str">
        <f t="shared" si="73"/>
        <v/>
      </c>
      <c r="BI66" s="62" t="str">
        <f t="shared" si="74"/>
        <v/>
      </c>
      <c r="BJ66" s="62" t="str">
        <f t="shared" si="75"/>
        <v/>
      </c>
      <c r="BK66" s="62" t="str">
        <f t="shared" si="76"/>
        <v>If</v>
      </c>
      <c r="BM66" s="62" t="str">
        <f t="shared" si="77"/>
        <v/>
      </c>
      <c r="BN66" s="62" t="str">
        <f t="shared" si="78"/>
        <v/>
      </c>
      <c r="BO66" s="62" t="str">
        <f t="shared" si="79"/>
        <v/>
      </c>
      <c r="BP66" s="62" t="str">
        <f t="shared" si="80"/>
        <v/>
      </c>
    </row>
    <row r="67" spans="1:68" ht="26.25" x14ac:dyDescent="0.4">
      <c r="A67" s="42" t="s">
        <v>148</v>
      </c>
      <c r="L67" s="54" t="s">
        <v>191</v>
      </c>
      <c r="Q67" s="12"/>
      <c r="R67" s="63">
        <f t="shared" si="64"/>
        <v>0</v>
      </c>
      <c r="S67" s="63">
        <f t="shared" si="82"/>
        <v>0</v>
      </c>
      <c r="T67" s="63">
        <f t="shared" si="83"/>
        <v>0</v>
      </c>
      <c r="U67" s="63">
        <f t="shared" si="84"/>
        <v>0</v>
      </c>
      <c r="W67" s="11"/>
      <c r="X67" s="11"/>
      <c r="Y67" s="11"/>
      <c r="AL67" s="14" t="s">
        <v>19</v>
      </c>
      <c r="AM67" s="14" t="s">
        <v>19</v>
      </c>
      <c r="AN67" s="14" t="s">
        <v>19</v>
      </c>
      <c r="AO67" s="14" t="s">
        <v>19</v>
      </c>
      <c r="AQ67" s="60">
        <v>18</v>
      </c>
      <c r="AS67" s="62" t="str">
        <f>IF(AL67="","",IF(OR(AL67="Fr",AL67="La",AL67="Sn"),IF(AL67&lt;&gt;IFERROR(VLOOKUP(Wahlbogen!$B$6,F!$A$2:$C$22,3,0),"Sp"),"",AL67),AL67))</f>
        <v/>
      </c>
      <c r="AT67" s="62" t="str">
        <f>IF(AM67="","",IF(OR(AM67="Fr",AM67="La",AM67="Sn"),IF(AM67&lt;&gt;IFERROR(VLOOKUP(Wahlbogen!$B$6,F!$A$2:$C$22,3,0),"Sp"),"",AM67),AM67))</f>
        <v/>
      </c>
      <c r="AU67" s="62" t="str">
        <f>IF(AN67="","",IF(OR(AN67="Fr",AN67="La",AN67="Sn"),IF(AN67&lt;&gt;IFERROR(VLOOKUP(Wahlbogen!$B$6,F!$A$2:$C$22,3,0),"Sp"),"",AN67),AN67))</f>
        <v/>
      </c>
      <c r="AV67" s="62" t="str">
        <f>IF(AO67="","",IF(OR(AO67="Fr",AO67="La",AO67="Sn"),IF(AO67&lt;&gt;IFERROR(VLOOKUP(Wahlbogen!$B$6,F!$A$2:$C$22,3,0),"Sp"),"",AO67),AO67))</f>
        <v/>
      </c>
      <c r="AX67" s="62" t="str">
        <f t="shared" si="65"/>
        <v/>
      </c>
      <c r="AY67" s="62" t="str">
        <f t="shared" si="66"/>
        <v/>
      </c>
      <c r="AZ67" s="62" t="str">
        <f t="shared" si="67"/>
        <v/>
      </c>
      <c r="BA67" s="62" t="str">
        <f t="shared" si="68"/>
        <v/>
      </c>
      <c r="BC67" s="62" t="str">
        <f t="shared" si="69"/>
        <v/>
      </c>
      <c r="BD67" s="62" t="str">
        <f t="shared" si="70"/>
        <v/>
      </c>
      <c r="BE67" s="62" t="str">
        <f t="shared" si="71"/>
        <v/>
      </c>
      <c r="BF67" s="62" t="str">
        <f t="shared" si="72"/>
        <v/>
      </c>
      <c r="BH67" s="62" t="str">
        <f t="shared" si="73"/>
        <v/>
      </c>
      <c r="BI67" s="62" t="str">
        <f t="shared" si="74"/>
        <v/>
      </c>
      <c r="BJ67" s="62" t="str">
        <f t="shared" si="75"/>
        <v/>
      </c>
      <c r="BK67" s="62" t="str">
        <f t="shared" si="76"/>
        <v/>
      </c>
      <c r="BM67" s="62" t="str">
        <f t="shared" si="77"/>
        <v/>
      </c>
      <c r="BN67" s="62" t="str">
        <f t="shared" si="78"/>
        <v/>
      </c>
      <c r="BO67" s="62" t="str">
        <f t="shared" si="79"/>
        <v/>
      </c>
      <c r="BP67" s="62" t="str">
        <f t="shared" si="80"/>
        <v/>
      </c>
    </row>
    <row r="68" spans="1:68" x14ac:dyDescent="0.25">
      <c r="A68" s="30"/>
      <c r="L68" s="54" t="s">
        <v>18</v>
      </c>
      <c r="Q68" s="12"/>
      <c r="R68" s="63">
        <f t="shared" si="64"/>
        <v>0</v>
      </c>
      <c r="S68" s="63">
        <f t="shared" si="82"/>
        <v>0</v>
      </c>
      <c r="T68" s="63">
        <f t="shared" si="83"/>
        <v>0</v>
      </c>
      <c r="U68" s="63">
        <f t="shared" si="84"/>
        <v>0</v>
      </c>
      <c r="W68" s="11"/>
      <c r="X68" s="11"/>
      <c r="Y68" s="11"/>
      <c r="AL68" s="14" t="s">
        <v>19</v>
      </c>
      <c r="AM68" s="14" t="s">
        <v>19</v>
      </c>
      <c r="AN68" s="14" t="s">
        <v>19</v>
      </c>
      <c r="AO68" s="14" t="s">
        <v>19</v>
      </c>
      <c r="AQ68" s="60">
        <v>19</v>
      </c>
      <c r="AS68" s="62" t="str">
        <f>IF(AL68="","",IF(OR(AL68="Fr",AL68="La",AL68="Sn"),IF(AL68&lt;&gt;IFERROR(VLOOKUP(Wahlbogen!$B$6,F!$A$2:$C$22,3,0),"Sp"),"",AL68),AL68))</f>
        <v/>
      </c>
      <c r="AT68" s="62" t="str">
        <f>IF(AM68="","",IF(OR(AM68="Fr",AM68="La",AM68="Sn"),IF(AM68&lt;&gt;IFERROR(VLOOKUP(Wahlbogen!$B$6,F!$A$2:$C$22,3,0),"Sp"),"",AM68),AM68))</f>
        <v/>
      </c>
      <c r="AU68" s="62" t="str">
        <f>IF(AN68="","",IF(OR(AN68="Fr",AN68="La",AN68="Sn"),IF(AN68&lt;&gt;IFERROR(VLOOKUP(Wahlbogen!$B$6,F!$A$2:$C$22,3,0),"Sp"),"",AN68),AN68))</f>
        <v/>
      </c>
      <c r="AV68" s="62" t="str">
        <f>IF(AO68="","",IF(OR(AO68="Fr",AO68="La",AO68="Sn"),IF(AO68&lt;&gt;IFERROR(VLOOKUP(Wahlbogen!$B$6,F!$A$2:$C$22,3,0),"Sp"),"",AO68),AO68))</f>
        <v/>
      </c>
      <c r="AX68" s="62" t="str">
        <f t="shared" si="65"/>
        <v/>
      </c>
      <c r="AY68" s="62" t="str">
        <f t="shared" si="66"/>
        <v/>
      </c>
      <c r="AZ68" s="62" t="str">
        <f t="shared" si="67"/>
        <v/>
      </c>
      <c r="BA68" s="62" t="str">
        <f t="shared" si="68"/>
        <v/>
      </c>
      <c r="BC68" s="62" t="str">
        <f t="shared" si="69"/>
        <v/>
      </c>
      <c r="BD68" s="62" t="str">
        <f t="shared" si="70"/>
        <v/>
      </c>
      <c r="BE68" s="62" t="str">
        <f t="shared" si="71"/>
        <v/>
      </c>
      <c r="BF68" s="62" t="str">
        <f t="shared" si="72"/>
        <v/>
      </c>
      <c r="BH68" s="62" t="str">
        <f t="shared" si="73"/>
        <v/>
      </c>
      <c r="BI68" s="62" t="str">
        <f t="shared" si="74"/>
        <v/>
      </c>
      <c r="BJ68" s="62" t="str">
        <f t="shared" si="75"/>
        <v/>
      </c>
      <c r="BK68" s="62" t="str">
        <f t="shared" si="76"/>
        <v/>
      </c>
      <c r="BM68" s="62" t="str">
        <f t="shared" si="77"/>
        <v/>
      </c>
      <c r="BN68" s="62" t="str">
        <f t="shared" si="78"/>
        <v/>
      </c>
      <c r="BO68" s="62" t="str">
        <f t="shared" si="79"/>
        <v/>
      </c>
      <c r="BP68" s="62" t="str">
        <f t="shared" si="80"/>
        <v/>
      </c>
    </row>
    <row r="69" spans="1:68" ht="15.75" thickBot="1" x14ac:dyDescent="0.3">
      <c r="A69" s="41" t="s">
        <v>141</v>
      </c>
      <c r="L69" s="54"/>
      <c r="Q69" s="12"/>
      <c r="R69" s="63">
        <f t="shared" si="64"/>
        <v>0</v>
      </c>
      <c r="S69" s="63">
        <f t="shared" si="82"/>
        <v>0</v>
      </c>
      <c r="T69" s="63">
        <f t="shared" si="83"/>
        <v>0</v>
      </c>
      <c r="U69" s="63">
        <f t="shared" si="84"/>
        <v>0</v>
      </c>
      <c r="W69" s="11"/>
      <c r="X69" s="11"/>
      <c r="Y69" s="11"/>
      <c r="AL69" s="14" t="s">
        <v>19</v>
      </c>
      <c r="AM69" s="14" t="s">
        <v>19</v>
      </c>
      <c r="AN69" s="14" t="s">
        <v>19</v>
      </c>
      <c r="AO69" s="14" t="s">
        <v>19</v>
      </c>
      <c r="AQ69" s="60">
        <v>20</v>
      </c>
      <c r="AS69" s="62" t="str">
        <f>IF(AL69="","",IF(OR(AL69="Fr",AL69="La",AL69="Sn"),IF(AL69&lt;&gt;IFERROR(VLOOKUP(Wahlbogen!$B$6,F!$A$2:$C$22,3,0),"Sp"),"",AL69),AL69))</f>
        <v/>
      </c>
      <c r="AT69" s="62" t="str">
        <f>IF(AM69="","",IF(OR(AM69="Fr",AM69="La",AM69="Sn"),IF(AM69&lt;&gt;IFERROR(VLOOKUP(Wahlbogen!$B$6,F!$A$2:$C$22,3,0),"Sp"),"",AM69),AM69))</f>
        <v/>
      </c>
      <c r="AU69" s="62" t="str">
        <f>IF(AN69="","",IF(OR(AN69="Fr",AN69="La",AN69="Sn"),IF(AN69&lt;&gt;IFERROR(VLOOKUP(Wahlbogen!$B$6,F!$A$2:$C$22,3,0),"Sp"),"",AN69),AN69))</f>
        <v/>
      </c>
      <c r="AV69" s="62" t="str">
        <f>IF(AO69="","",IF(OR(AO69="Fr",AO69="La",AO69="Sn"),IF(AO69&lt;&gt;IFERROR(VLOOKUP(Wahlbogen!$B$6,F!$A$2:$C$22,3,0),"Sp"),"",AO69),AO69))</f>
        <v/>
      </c>
      <c r="AX69" s="62" t="str">
        <f t="shared" si="65"/>
        <v/>
      </c>
      <c r="AY69" s="62" t="str">
        <f t="shared" si="66"/>
        <v/>
      </c>
      <c r="AZ69" s="62" t="str">
        <f t="shared" si="67"/>
        <v/>
      </c>
      <c r="BA69" s="62" t="str">
        <f t="shared" si="68"/>
        <v/>
      </c>
      <c r="BC69" s="62" t="str">
        <f t="shared" si="69"/>
        <v/>
      </c>
      <c r="BD69" s="62" t="str">
        <f t="shared" si="70"/>
        <v/>
      </c>
      <c r="BE69" s="62" t="str">
        <f t="shared" si="71"/>
        <v/>
      </c>
      <c r="BF69" s="62" t="str">
        <f t="shared" si="72"/>
        <v/>
      </c>
      <c r="BH69" s="62" t="str">
        <f t="shared" si="73"/>
        <v/>
      </c>
      <c r="BI69" s="62" t="str">
        <f t="shared" si="74"/>
        <v/>
      </c>
      <c r="BJ69" s="62" t="str">
        <f t="shared" si="75"/>
        <v/>
      </c>
      <c r="BK69" s="62" t="str">
        <f t="shared" si="76"/>
        <v/>
      </c>
      <c r="BM69" s="62" t="str">
        <f t="shared" si="77"/>
        <v/>
      </c>
      <c r="BN69" s="62" t="str">
        <f t="shared" si="78"/>
        <v/>
      </c>
      <c r="BO69" s="62" t="str">
        <f t="shared" si="79"/>
        <v/>
      </c>
      <c r="BP69" s="62" t="str">
        <f t="shared" si="80"/>
        <v/>
      </c>
    </row>
    <row r="70" spans="1:68" x14ac:dyDescent="0.25">
      <c r="A70" s="46" t="s">
        <v>251</v>
      </c>
      <c r="B70" s="37" t="str">
        <f>IF(A70="","",LEFT(A70,FIND(":",A70)-1))</f>
        <v>sp11</v>
      </c>
      <c r="G70" s="14" t="s">
        <v>16</v>
      </c>
      <c r="L70" s="54" t="s">
        <v>192</v>
      </c>
      <c r="Q70" s="12"/>
      <c r="R70" s="63">
        <f t="shared" si="64"/>
        <v>0</v>
      </c>
      <c r="S70" s="63">
        <f t="shared" si="82"/>
        <v>0</v>
      </c>
      <c r="T70" s="63">
        <f t="shared" si="83"/>
        <v>0</v>
      </c>
      <c r="U70" s="63">
        <f t="shared" si="84"/>
        <v>0</v>
      </c>
      <c r="W70" s="11"/>
      <c r="X70" s="11"/>
      <c r="Y70" s="11"/>
    </row>
    <row r="71" spans="1:68" x14ac:dyDescent="0.25">
      <c r="A71" s="47" t="s">
        <v>252</v>
      </c>
      <c r="B71" s="38" t="str">
        <f t="shared" ref="B71:B77" si="85">IF(A71="","",LEFT(A71,FIND(":",A71)-1))</f>
        <v>sp12</v>
      </c>
      <c r="G71" s="13" t="s">
        <v>15</v>
      </c>
      <c r="L71" s="54" t="s">
        <v>7</v>
      </c>
      <c r="Q71" s="12"/>
      <c r="R71" s="63">
        <f t="shared" si="64"/>
        <v>0</v>
      </c>
      <c r="S71" s="63">
        <f t="shared" si="82"/>
        <v>0</v>
      </c>
      <c r="T71" s="63">
        <f t="shared" si="83"/>
        <v>0</v>
      </c>
      <c r="U71" s="63">
        <f t="shared" si="84"/>
        <v>0</v>
      </c>
      <c r="W71" s="11"/>
      <c r="X71" s="11"/>
      <c r="Y71" s="11"/>
    </row>
    <row r="72" spans="1:68" x14ac:dyDescent="0.25">
      <c r="A72" s="47" t="s">
        <v>253</v>
      </c>
      <c r="B72" s="38" t="str">
        <f t="shared" si="85"/>
        <v>sp13</v>
      </c>
      <c r="G72" s="14" t="s">
        <v>17</v>
      </c>
      <c r="L72" s="54" t="s">
        <v>11</v>
      </c>
      <c r="Q72" s="12"/>
      <c r="R72" s="63">
        <f t="shared" si="64"/>
        <v>0</v>
      </c>
      <c r="S72" s="63">
        <f t="shared" si="82"/>
        <v>0</v>
      </c>
      <c r="T72" s="63">
        <f t="shared" si="83"/>
        <v>0</v>
      </c>
      <c r="U72" s="63">
        <f t="shared" si="84"/>
        <v>0</v>
      </c>
      <c r="W72" s="11"/>
      <c r="X72" s="11"/>
      <c r="Y72" s="11"/>
    </row>
    <row r="73" spans="1:68" x14ac:dyDescent="0.25">
      <c r="A73" s="47" t="s">
        <v>254</v>
      </c>
      <c r="B73" s="38" t="str">
        <f t="shared" si="85"/>
        <v>sp14</v>
      </c>
      <c r="L73" s="54" t="s">
        <v>12</v>
      </c>
      <c r="Q73" s="12"/>
      <c r="R73" s="63">
        <f t="shared" si="64"/>
        <v>0</v>
      </c>
      <c r="S73" s="63">
        <f t="shared" si="82"/>
        <v>0</v>
      </c>
      <c r="T73" s="63">
        <f t="shared" si="83"/>
        <v>0</v>
      </c>
      <c r="U73" s="63">
        <f t="shared" si="84"/>
        <v>0</v>
      </c>
      <c r="W73" s="11"/>
      <c r="X73" s="11"/>
      <c r="Y73" s="11"/>
    </row>
    <row r="74" spans="1:68" x14ac:dyDescent="0.25">
      <c r="A74" s="47" t="s">
        <v>255</v>
      </c>
      <c r="B74" s="38" t="str">
        <f t="shared" si="85"/>
        <v>sp15</v>
      </c>
      <c r="L74" s="54" t="s">
        <v>13</v>
      </c>
      <c r="Q74" s="12"/>
      <c r="R74" s="63">
        <f t="shared" si="64"/>
        <v>0</v>
      </c>
      <c r="S74" s="63">
        <f t="shared" si="82"/>
        <v>0</v>
      </c>
      <c r="T74" s="63">
        <f t="shared" si="83"/>
        <v>0</v>
      </c>
      <c r="U74" s="63">
        <f t="shared" si="84"/>
        <v>0</v>
      </c>
      <c r="W74" s="11"/>
      <c r="X74" s="11"/>
      <c r="Y74" s="11"/>
    </row>
    <row r="75" spans="1:68" x14ac:dyDescent="0.25">
      <c r="A75" s="44"/>
      <c r="B75" s="38" t="str">
        <f t="shared" si="85"/>
        <v/>
      </c>
      <c r="L75" s="54" t="s">
        <v>14</v>
      </c>
      <c r="Q75" s="12"/>
      <c r="R75" s="63">
        <f t="shared" si="64"/>
        <v>0</v>
      </c>
      <c r="S75" s="63">
        <f t="shared" si="82"/>
        <v>0</v>
      </c>
      <c r="T75" s="63">
        <f t="shared" si="83"/>
        <v>0</v>
      </c>
      <c r="U75" s="63">
        <f t="shared" si="84"/>
        <v>0</v>
      </c>
      <c r="W75" s="11"/>
      <c r="X75" s="11"/>
      <c r="Y75" s="11"/>
    </row>
    <row r="76" spans="1:68" x14ac:dyDescent="0.25">
      <c r="A76" s="44"/>
      <c r="B76" s="38" t="str">
        <f t="shared" si="85"/>
        <v/>
      </c>
      <c r="L76" s="54"/>
      <c r="Q76" s="12"/>
      <c r="R76" s="63">
        <f t="shared" si="64"/>
        <v>0</v>
      </c>
      <c r="S76" s="63">
        <f t="shared" si="82"/>
        <v>0</v>
      </c>
      <c r="T76" s="63">
        <f t="shared" si="83"/>
        <v>0</v>
      </c>
      <c r="U76" s="63">
        <f t="shared" si="84"/>
        <v>0</v>
      </c>
      <c r="W76" s="11"/>
      <c r="X76" s="11"/>
      <c r="Y76" s="11"/>
    </row>
    <row r="77" spans="1:68" ht="15.75" thickBot="1" x14ac:dyDescent="0.3">
      <c r="A77" s="45"/>
      <c r="B77" s="40" t="str">
        <f t="shared" si="85"/>
        <v/>
      </c>
      <c r="G77" s="13" t="s">
        <v>10</v>
      </c>
      <c r="L77" s="54"/>
      <c r="Q77" s="12"/>
      <c r="R77" s="63">
        <f t="shared" si="64"/>
        <v>0</v>
      </c>
      <c r="S77" s="63">
        <f t="shared" si="82"/>
        <v>0</v>
      </c>
      <c r="T77" s="63">
        <f t="shared" si="83"/>
        <v>0</v>
      </c>
      <c r="U77" s="63">
        <f t="shared" si="84"/>
        <v>0</v>
      </c>
      <c r="W77" s="11"/>
      <c r="X77" s="11"/>
      <c r="Y77" s="11"/>
    </row>
    <row r="78" spans="1:68" x14ac:dyDescent="0.25">
      <c r="G78" s="13" t="s">
        <v>18</v>
      </c>
      <c r="L78" s="54"/>
      <c r="Q78" s="12"/>
      <c r="W78" s="11"/>
      <c r="X78" s="11"/>
      <c r="Y78" s="11"/>
      <c r="AL78" t="s">
        <v>19</v>
      </c>
      <c r="AM78" t="s">
        <v>19</v>
      </c>
      <c r="AN78" t="s">
        <v>19</v>
      </c>
      <c r="AO78" t="s">
        <v>19</v>
      </c>
    </row>
    <row r="79" spans="1:68" x14ac:dyDescent="0.25">
      <c r="L79" s="54"/>
      <c r="Q79" s="12"/>
      <c r="AL79" t="s">
        <v>19</v>
      </c>
      <c r="AM79" t="s">
        <v>19</v>
      </c>
      <c r="AN79" t="s">
        <v>19</v>
      </c>
      <c r="AO79" t="s">
        <v>19</v>
      </c>
    </row>
    <row r="80" spans="1:68" ht="15.75" thickBot="1" x14ac:dyDescent="0.3">
      <c r="L80" s="54"/>
      <c r="Q80" s="12"/>
      <c r="AL80" t="s">
        <v>19</v>
      </c>
      <c r="AM80" t="s">
        <v>19</v>
      </c>
      <c r="AN80" t="s">
        <v>19</v>
      </c>
      <c r="AO80" t="s">
        <v>19</v>
      </c>
    </row>
    <row r="81" spans="1:68" ht="18.75" x14ac:dyDescent="0.3">
      <c r="A81" s="46" t="s">
        <v>256</v>
      </c>
      <c r="B81" s="37" t="str">
        <f>IF(A81="","",LEFT(A81,FIND(":",A81)-1))</f>
        <v>sp21</v>
      </c>
      <c r="D81" s="69" t="s">
        <v>273</v>
      </c>
      <c r="L81" s="54"/>
      <c r="Q81" s="12"/>
      <c r="AL81" t="s">
        <v>19</v>
      </c>
      <c r="AM81" t="s">
        <v>19</v>
      </c>
      <c r="AN81" t="s">
        <v>19</v>
      </c>
      <c r="AO81" t="s">
        <v>19</v>
      </c>
    </row>
    <row r="82" spans="1:68" ht="19.5" thickBot="1" x14ac:dyDescent="0.3">
      <c r="A82" s="47" t="s">
        <v>257</v>
      </c>
      <c r="B82" s="38" t="str">
        <f t="shared" ref="B82:B88" si="86">IF(A82="","",LEFT(A82,FIND(":",A82)-1))</f>
        <v>sp22</v>
      </c>
      <c r="D82" s="67" t="s">
        <v>242</v>
      </c>
      <c r="L82" s="55"/>
      <c r="Q82" s="12"/>
      <c r="R82" s="10" t="s">
        <v>98</v>
      </c>
      <c r="AL82" s="10" t="s">
        <v>98</v>
      </c>
      <c r="AM82" s="8"/>
      <c r="AN82" s="8"/>
      <c r="AO82" s="8"/>
    </row>
    <row r="83" spans="1:68" x14ac:dyDescent="0.25">
      <c r="A83" s="47" t="s">
        <v>258</v>
      </c>
      <c r="B83" s="38" t="str">
        <f t="shared" si="86"/>
        <v>sp23</v>
      </c>
      <c r="D83" s="67" t="s">
        <v>243</v>
      </c>
      <c r="Q83" s="12"/>
      <c r="R83" s="15" t="s">
        <v>99</v>
      </c>
      <c r="S83" s="15" t="s">
        <v>100</v>
      </c>
      <c r="T83" s="15" t="s">
        <v>101</v>
      </c>
      <c r="U83" s="15" t="s">
        <v>102</v>
      </c>
      <c r="AL83" s="15" t="s">
        <v>99</v>
      </c>
      <c r="AM83" s="15" t="s">
        <v>100</v>
      </c>
      <c r="AN83" s="15" t="s">
        <v>101</v>
      </c>
      <c r="AO83" s="15" t="s">
        <v>102</v>
      </c>
      <c r="AQ83" t="s">
        <v>237</v>
      </c>
      <c r="AS83" t="s">
        <v>232</v>
      </c>
      <c r="AX83" t="s">
        <v>233</v>
      </c>
      <c r="BC83" t="s">
        <v>234</v>
      </c>
      <c r="BH83" t="s">
        <v>235</v>
      </c>
      <c r="BM83" t="s">
        <v>236</v>
      </c>
    </row>
    <row r="84" spans="1:68" x14ac:dyDescent="0.25">
      <c r="A84" s="47" t="s">
        <v>259</v>
      </c>
      <c r="B84" s="38" t="str">
        <f t="shared" si="86"/>
        <v>sp24</v>
      </c>
      <c r="D84" s="67" t="s">
        <v>244</v>
      </c>
      <c r="Q84" s="12"/>
      <c r="R84" s="63" t="str">
        <f t="shared" ref="R84:R116" si="87">IFERROR(VLOOKUP(BM84,$E$2:$G$22,3,0),0)</f>
        <v>Deutsch</v>
      </c>
      <c r="S84" s="63" t="str">
        <f t="shared" ref="S84:S116" si="88">IFERROR(VLOOKUP(BN84,$E$2:$G$22,3,0),0)</f>
        <v>Deutsch</v>
      </c>
      <c r="T84" s="63" t="str">
        <f t="shared" ref="T84:T116" si="89">IFERROR(VLOOKUP(BO84,$E$2:$G$22,3,0),0)</f>
        <v>Deutsch</v>
      </c>
      <c r="U84" s="63" t="str">
        <f t="shared" ref="U84:U116" si="90">IFERROR(VLOOKUP(BP84,$E$2:$G$22,3,0),0)</f>
        <v>Deutsch</v>
      </c>
      <c r="V84" s="11" t="str">
        <f t="shared" ref="V84:V91" si="91">IF(AND(R84="",R85="",R86=""),ROW(),"")</f>
        <v/>
      </c>
      <c r="W84" s="11" t="str">
        <f t="shared" ref="W84:W91" si="92">IF(AND(S84="",S85="",S86=""),ROW(),"")</f>
        <v/>
      </c>
      <c r="X84" s="11" t="str">
        <f t="shared" ref="X84:X91" si="93">IF(AND(T84="",T85="",T86=""),ROW(),"")</f>
        <v/>
      </c>
      <c r="Y84" s="11" t="str">
        <f t="shared" ref="Y84:Y91" si="94">IF(AND(U84="",U85="",U86=""),ROW(),"")</f>
        <v/>
      </c>
      <c r="Z84" s="17"/>
      <c r="AA84" s="17">
        <v>1</v>
      </c>
      <c r="AB84" s="17">
        <v>2</v>
      </c>
      <c r="AC84" s="17">
        <v>3</v>
      </c>
      <c r="AD84" s="17">
        <v>4</v>
      </c>
      <c r="AE84" s="17"/>
      <c r="AF84" s="17">
        <v>1</v>
      </c>
      <c r="AG84" s="17">
        <v>2</v>
      </c>
      <c r="AH84" s="17">
        <v>3</v>
      </c>
      <c r="AI84" s="17">
        <v>4</v>
      </c>
      <c r="AL84" s="14" t="s">
        <v>45</v>
      </c>
      <c r="AM84" s="14" t="s">
        <v>45</v>
      </c>
      <c r="AN84" s="14" t="s">
        <v>45</v>
      </c>
      <c r="AO84" s="14" t="s">
        <v>45</v>
      </c>
      <c r="AQ84" s="60">
        <v>1</v>
      </c>
      <c r="AS84" s="62" t="str">
        <f>IF(AL84="","",IF(OR(AL84="Fr",AL84="La",AL84="Sn"),IF(AL84&lt;&gt;IFERROR(VLOOKUP(Wahlbogen!$B$6,F!$A$2:$C$22,3,0),"Sp"),"",AL84),AL84))</f>
        <v>De</v>
      </c>
      <c r="AT84" s="62" t="str">
        <f>IF(AM84="","",IF(OR(AM84="Fr",AM84="La",AM84="Sn"),IF(AM84&lt;&gt;IFERROR(VLOOKUP(Wahlbogen!$B$6,F!$A$2:$C$22,3,0),"Sp"),"",AM84),AM84))</f>
        <v>De</v>
      </c>
      <c r="AU84" s="62" t="str">
        <f>IF(AN84="","",IF(OR(AN84="Fr",AN84="La",AN84="Sn"),IF(AN84&lt;&gt;IFERROR(VLOOKUP(Wahlbogen!$B$6,F!$A$2:$C$22,3,0),"Sp"),"",AN84),AN84))</f>
        <v>De</v>
      </c>
      <c r="AV84" s="62" t="str">
        <f>IF(AO84="","",IF(OR(AO84="Fr",AO84="La",AO84="Sn"),IF(AO84&lt;&gt;IFERROR(VLOOKUP(Wahlbogen!$B$6,F!$A$2:$C$22,3,0),"Sp"),"",AO84),AO84))</f>
        <v>De</v>
      </c>
      <c r="AX84" s="62">
        <f>IFERROR(VLOOKUP(AS84,$C$2:$H$22,6,0),"")</f>
        <v>1</v>
      </c>
      <c r="AY84" s="62">
        <f t="shared" ref="AY84" si="95">IFERROR(VLOOKUP(AT84,$C$2:$H$22,6,0),"")</f>
        <v>1</v>
      </c>
      <c r="AZ84" s="62">
        <f t="shared" ref="AZ84" si="96">IFERROR(VLOOKUP(AU84,$C$2:$H$22,6,0),"")</f>
        <v>1</v>
      </c>
      <c r="BA84" s="62">
        <f t="shared" ref="BA84" si="97">IFERROR(VLOOKUP(AV84,$C$2:$H$22,6,0),"")</f>
        <v>1</v>
      </c>
      <c r="BC84" s="62">
        <f>IFERROR(RANK(AX84,AX$84:AX$103,1),"")</f>
        <v>1</v>
      </c>
      <c r="BD84" s="62">
        <f t="shared" ref="BD84:BF84" si="98">IFERROR(RANK(AY84,AY$84:AY$103,1),"")</f>
        <v>1</v>
      </c>
      <c r="BE84" s="62">
        <f t="shared" si="98"/>
        <v>1</v>
      </c>
      <c r="BF84" s="62">
        <f t="shared" si="98"/>
        <v>1</v>
      </c>
      <c r="BH84" s="62" t="str">
        <f>AS84</f>
        <v>De</v>
      </c>
      <c r="BI84" s="62" t="str">
        <f t="shared" ref="BI84" si="99">AT84</f>
        <v>De</v>
      </c>
      <c r="BJ84" s="62" t="str">
        <f t="shared" ref="BJ84" si="100">AU84</f>
        <v>De</v>
      </c>
      <c r="BK84" s="62" t="str">
        <f t="shared" ref="BK84" si="101">AV84</f>
        <v>De</v>
      </c>
      <c r="BM84" s="62" t="str">
        <f>IFERROR(VLOOKUP($AQ84,BC$84:BH$103,6,0),"")</f>
        <v>De</v>
      </c>
      <c r="BN84" s="62" t="str">
        <f t="shared" ref="BN84:BP84" si="102">IFERROR(VLOOKUP($AQ84,BD$84:BI$103,6,0),"")</f>
        <v>De</v>
      </c>
      <c r="BO84" s="62" t="str">
        <f t="shared" si="102"/>
        <v>De</v>
      </c>
      <c r="BP84" s="62" t="str">
        <f t="shared" si="102"/>
        <v>De</v>
      </c>
    </row>
    <row r="85" spans="1:68" x14ac:dyDescent="0.25">
      <c r="A85" s="47" t="s">
        <v>260</v>
      </c>
      <c r="B85" s="38" t="str">
        <f t="shared" si="86"/>
        <v>sp25</v>
      </c>
      <c r="D85" s="67" t="s">
        <v>245</v>
      </c>
      <c r="Q85" s="12"/>
      <c r="R85" s="63" t="str">
        <f t="shared" si="87"/>
        <v>Englisch</v>
      </c>
      <c r="S85" s="63" t="str">
        <f t="shared" si="88"/>
        <v>Englisch</v>
      </c>
      <c r="T85" s="63" t="str">
        <f t="shared" si="89"/>
        <v>Englisch</v>
      </c>
      <c r="U85" s="63" t="str">
        <f t="shared" si="90"/>
        <v>Englisch</v>
      </c>
      <c r="V85" s="11" t="str">
        <f t="shared" si="91"/>
        <v/>
      </c>
      <c r="W85" s="11" t="str">
        <f t="shared" si="92"/>
        <v/>
      </c>
      <c r="X85" s="11" t="str">
        <f t="shared" si="93"/>
        <v/>
      </c>
      <c r="Y85" s="11" t="str">
        <f t="shared" si="94"/>
        <v/>
      </c>
      <c r="Z85" s="17"/>
      <c r="AA85" s="17" t="s">
        <v>119</v>
      </c>
      <c r="AB85" s="17" t="s">
        <v>120</v>
      </c>
      <c r="AC85" s="17" t="s">
        <v>121</v>
      </c>
      <c r="AD85" s="17" t="s">
        <v>122</v>
      </c>
      <c r="AE85" s="17"/>
      <c r="AF85" s="17" t="s">
        <v>119</v>
      </c>
      <c r="AG85" s="17" t="s">
        <v>120</v>
      </c>
      <c r="AH85" s="17" t="s">
        <v>121</v>
      </c>
      <c r="AI85" s="17" t="s">
        <v>122</v>
      </c>
      <c r="AL85" s="14" t="s">
        <v>46</v>
      </c>
      <c r="AM85" s="14" t="s">
        <v>46</v>
      </c>
      <c r="AN85" s="14" t="s">
        <v>46</v>
      </c>
      <c r="AO85" s="14" t="s">
        <v>46</v>
      </c>
      <c r="AQ85" s="60">
        <v>2</v>
      </c>
      <c r="AS85" s="62" t="str">
        <f>IF(AL85="","",IF(OR(AL85="Fr",AL85="La",AL85="Sn"),IF(AL85&lt;&gt;IFERROR(VLOOKUP(Wahlbogen!$B$6,F!$A$2:$C$22,3,0),"Sp"),"",AL85),AL85))</f>
        <v>En</v>
      </c>
      <c r="AT85" s="62" t="str">
        <f>IF(AM85="","",IF(OR(AM85="Fr",AM85="La",AM85="Sn"),IF(AM85&lt;&gt;IFERROR(VLOOKUP(Wahlbogen!$B$6,F!$A$2:$C$22,3,0),"Sp"),"",AM85),AM85))</f>
        <v>En</v>
      </c>
      <c r="AU85" s="62" t="str">
        <f>IF(AN85="","",IF(OR(AN85="Fr",AN85="La",AN85="Sn"),IF(AN85&lt;&gt;IFERROR(VLOOKUP(Wahlbogen!$B$6,F!$A$2:$C$22,3,0),"Sp"),"",AN85),AN85))</f>
        <v>En</v>
      </c>
      <c r="AV85" s="62" t="str">
        <f>IF(AO85="","",IF(OR(AO85="Fr",AO85="La",AO85="Sn"),IF(AO85&lt;&gt;IFERROR(VLOOKUP(Wahlbogen!$B$6,F!$A$2:$C$22,3,0),"Sp"),"",AO85),AO85))</f>
        <v>En</v>
      </c>
      <c r="AX85" s="62">
        <f t="shared" ref="AX85:AX103" si="103">IFERROR(VLOOKUP(AS85,$C$2:$H$22,6,0),"")</f>
        <v>2</v>
      </c>
      <c r="AY85" s="62">
        <f t="shared" ref="AY85:AY103" si="104">IFERROR(VLOOKUP(AT85,$C$2:$H$22,6,0),"")</f>
        <v>2</v>
      </c>
      <c r="AZ85" s="62">
        <f t="shared" ref="AZ85:AZ103" si="105">IFERROR(VLOOKUP(AU85,$C$2:$H$22,6,0),"")</f>
        <v>2</v>
      </c>
      <c r="BA85" s="62">
        <f t="shared" ref="BA85:BA103" si="106">IFERROR(VLOOKUP(AV85,$C$2:$H$22,6,0),"")</f>
        <v>2</v>
      </c>
      <c r="BC85" s="62">
        <f t="shared" ref="BC85:BC103" si="107">IFERROR(RANK(AX85,AX$84:AX$103,1),"")</f>
        <v>2</v>
      </c>
      <c r="BD85" s="62">
        <f t="shared" ref="BD85:BD103" si="108">IFERROR(RANK(AY85,AY$84:AY$103,1),"")</f>
        <v>2</v>
      </c>
      <c r="BE85" s="62">
        <f t="shared" ref="BE85:BE103" si="109">IFERROR(RANK(AZ85,AZ$84:AZ$103,1),"")</f>
        <v>2</v>
      </c>
      <c r="BF85" s="62">
        <f t="shared" ref="BF85:BF103" si="110">IFERROR(RANK(BA85,BA$84:BA$103,1),"")</f>
        <v>2</v>
      </c>
      <c r="BH85" s="62" t="str">
        <f t="shared" ref="BH85:BH103" si="111">AS85</f>
        <v>En</v>
      </c>
      <c r="BI85" s="62" t="str">
        <f t="shared" ref="BI85:BI103" si="112">AT85</f>
        <v>En</v>
      </c>
      <c r="BJ85" s="62" t="str">
        <f t="shared" ref="BJ85:BJ103" si="113">AU85</f>
        <v>En</v>
      </c>
      <c r="BK85" s="62" t="str">
        <f t="shared" ref="BK85:BK103" si="114">AV85</f>
        <v>En</v>
      </c>
      <c r="BM85" s="62" t="str">
        <f t="shared" ref="BM85:BM103" si="115">IFERROR(VLOOKUP($AQ85,BC$84:BH$103,6,0),"")</f>
        <v>En</v>
      </c>
      <c r="BN85" s="62" t="str">
        <f t="shared" ref="BN85:BN103" si="116">IFERROR(VLOOKUP($AQ85,BD$84:BI$103,6,0),"")</f>
        <v>En</v>
      </c>
      <c r="BO85" s="62" t="str">
        <f t="shared" ref="BO85:BO103" si="117">IFERROR(VLOOKUP($AQ85,BE$84:BJ$103,6,0),"")</f>
        <v>En</v>
      </c>
      <c r="BP85" s="62" t="str">
        <f t="shared" ref="BP85:BP103" si="118">IFERROR(VLOOKUP($AQ85,BF$84:BK$103,6,0),"")</f>
        <v>En</v>
      </c>
    </row>
    <row r="86" spans="1:68" x14ac:dyDescent="0.25">
      <c r="A86" s="44"/>
      <c r="B86" s="38" t="str">
        <f t="shared" si="86"/>
        <v/>
      </c>
      <c r="D86" s="67" t="s">
        <v>246</v>
      </c>
      <c r="Q86" s="12"/>
      <c r="R86" s="63" t="str">
        <f t="shared" si="87"/>
        <v>Musik</v>
      </c>
      <c r="S86" s="63" t="str">
        <f t="shared" si="88"/>
        <v>Musik</v>
      </c>
      <c r="T86" s="63" t="str">
        <f t="shared" si="89"/>
        <v>Musik</v>
      </c>
      <c r="U86" s="63" t="str">
        <f t="shared" si="90"/>
        <v>Musik</v>
      </c>
      <c r="V86" s="11" t="str">
        <f t="shared" si="91"/>
        <v/>
      </c>
      <c r="W86" s="11" t="str">
        <f t="shared" si="92"/>
        <v/>
      </c>
      <c r="X86" s="11" t="str">
        <f t="shared" si="93"/>
        <v/>
      </c>
      <c r="Y86" s="11" t="str">
        <f t="shared" si="94"/>
        <v/>
      </c>
      <c r="Z86" s="17" t="s">
        <v>116</v>
      </c>
      <c r="AA86" s="17">
        <f>ROW()-2</f>
        <v>84</v>
      </c>
      <c r="AB86" s="17">
        <f>AA86</f>
        <v>84</v>
      </c>
      <c r="AC86" s="17">
        <f>AB86</f>
        <v>84</v>
      </c>
      <c r="AD86" s="17">
        <f>AC86</f>
        <v>84</v>
      </c>
      <c r="AE86" s="17" t="s">
        <v>116</v>
      </c>
      <c r="AF86" s="17">
        <f>MATCH("",R83:R116,-1)+ROW()-4</f>
        <v>95</v>
      </c>
      <c r="AG86" s="17">
        <f t="shared" ref="AG86:AI86" si="119">MATCH("",S83:S116,-1)+ROW()-4</f>
        <v>95</v>
      </c>
      <c r="AH86" s="17">
        <f t="shared" si="119"/>
        <v>90</v>
      </c>
      <c r="AI86" s="17">
        <f t="shared" si="119"/>
        <v>95</v>
      </c>
      <c r="AL86" s="14" t="s">
        <v>49</v>
      </c>
      <c r="AM86" s="14" t="s">
        <v>49</v>
      </c>
      <c r="AN86" s="14" t="s">
        <v>49</v>
      </c>
      <c r="AO86" s="14" t="s">
        <v>49</v>
      </c>
      <c r="AQ86" s="60">
        <v>3</v>
      </c>
      <c r="AS86" s="62" t="str">
        <f>IF(AL86="","",IF(OR(AL86="Fr",AL86="La",AL86="Sn"),IF(AL86&lt;&gt;IFERROR(VLOOKUP(Wahlbogen!$B$6,F!$A$2:$C$22,3,0),"Sp"),"",AL86),AL86))</f>
        <v/>
      </c>
      <c r="AT86" s="62" t="str">
        <f>IF(AM86="","",IF(OR(AM86="Fr",AM86="La",AM86="Sn"),IF(AM86&lt;&gt;IFERROR(VLOOKUP(Wahlbogen!$B$6,F!$A$2:$C$22,3,0),"Sp"),"",AM86),AM86))</f>
        <v/>
      </c>
      <c r="AU86" s="62" t="str">
        <f>IF(AN86="","",IF(OR(AN86="Fr",AN86="La",AN86="Sn"),IF(AN86&lt;&gt;IFERROR(VLOOKUP(Wahlbogen!$B$6,F!$A$2:$C$22,3,0),"Sp"),"",AN86),AN86))</f>
        <v/>
      </c>
      <c r="AV86" s="62" t="str">
        <f>IF(AO86="","",IF(OR(AO86="Fr",AO86="La",AO86="Sn"),IF(AO86&lt;&gt;IFERROR(VLOOKUP(Wahlbogen!$B$6,F!$A$2:$C$22,3,0),"Sp"),"",AO86),AO86))</f>
        <v/>
      </c>
      <c r="AX86" s="62" t="str">
        <f t="shared" si="103"/>
        <v/>
      </c>
      <c r="AY86" s="62" t="str">
        <f t="shared" si="104"/>
        <v/>
      </c>
      <c r="AZ86" s="62" t="str">
        <f t="shared" si="105"/>
        <v/>
      </c>
      <c r="BA86" s="62" t="str">
        <f t="shared" si="106"/>
        <v/>
      </c>
      <c r="BC86" s="62" t="str">
        <f t="shared" si="107"/>
        <v/>
      </c>
      <c r="BD86" s="62" t="str">
        <f t="shared" si="108"/>
        <v/>
      </c>
      <c r="BE86" s="62" t="str">
        <f t="shared" si="109"/>
        <v/>
      </c>
      <c r="BF86" s="62" t="str">
        <f t="shared" si="110"/>
        <v/>
      </c>
      <c r="BH86" s="62" t="str">
        <f t="shared" si="111"/>
        <v/>
      </c>
      <c r="BI86" s="62" t="str">
        <f t="shared" si="112"/>
        <v/>
      </c>
      <c r="BJ86" s="62" t="str">
        <f t="shared" si="113"/>
        <v/>
      </c>
      <c r="BK86" s="62" t="str">
        <f t="shared" si="114"/>
        <v/>
      </c>
      <c r="BM86" s="62" t="str">
        <f t="shared" si="115"/>
        <v>Mu</v>
      </c>
      <c r="BN86" s="62" t="str">
        <f t="shared" si="116"/>
        <v>Mu</v>
      </c>
      <c r="BO86" s="62" t="str">
        <f t="shared" si="117"/>
        <v>Mu</v>
      </c>
      <c r="BP86" s="62" t="str">
        <f t="shared" si="118"/>
        <v>Mu</v>
      </c>
    </row>
    <row r="87" spans="1:68" x14ac:dyDescent="0.25">
      <c r="A87" s="44"/>
      <c r="B87" s="38" t="str">
        <f t="shared" si="86"/>
        <v/>
      </c>
      <c r="D87" s="68" t="s">
        <v>250</v>
      </c>
      <c r="Q87" s="12"/>
      <c r="R87" s="63" t="str">
        <f t="shared" si="87"/>
        <v>Geschichte</v>
      </c>
      <c r="S87" s="63" t="str">
        <f t="shared" si="88"/>
        <v>Geschichte</v>
      </c>
      <c r="T87" s="63" t="str">
        <f t="shared" si="89"/>
        <v>Mathematik</v>
      </c>
      <c r="U87" s="63" t="str">
        <f t="shared" si="90"/>
        <v>Geschichte</v>
      </c>
      <c r="V87" s="11" t="str">
        <f t="shared" si="91"/>
        <v/>
      </c>
      <c r="W87" s="11" t="str">
        <f t="shared" si="92"/>
        <v/>
      </c>
      <c r="X87" s="11" t="str">
        <f t="shared" si="93"/>
        <v/>
      </c>
      <c r="Y87" s="11" t="str">
        <f t="shared" si="94"/>
        <v/>
      </c>
      <c r="AL87" s="14" t="s">
        <v>54</v>
      </c>
      <c r="AM87" s="14" t="s">
        <v>54</v>
      </c>
      <c r="AN87" s="14" t="s">
        <v>54</v>
      </c>
      <c r="AO87" s="14" t="s">
        <v>54</v>
      </c>
      <c r="AQ87" s="60">
        <v>4</v>
      </c>
      <c r="AS87" s="62" t="str">
        <f>IF(AL87="","",IF(OR(AL87="Fr",AL87="La",AL87="Sn"),IF(AL87&lt;&gt;IFERROR(VLOOKUP(Wahlbogen!$B$6,F!$A$2:$C$22,3,0),"Sp"),"",AL87),AL87))</f>
        <v/>
      </c>
      <c r="AT87" s="62" t="str">
        <f>IF(AM87="","",IF(OR(AM87="Fr",AM87="La",AM87="Sn"),IF(AM87&lt;&gt;IFERROR(VLOOKUP(Wahlbogen!$B$6,F!$A$2:$C$22,3,0),"Sp"),"",AM87),AM87))</f>
        <v/>
      </c>
      <c r="AU87" s="62" t="str">
        <f>IF(AN87="","",IF(OR(AN87="Fr",AN87="La",AN87="Sn"),IF(AN87&lt;&gt;IFERROR(VLOOKUP(Wahlbogen!$B$6,F!$A$2:$C$22,3,0),"Sp"),"",AN87),AN87))</f>
        <v/>
      </c>
      <c r="AV87" s="62" t="str">
        <f>IF(AO87="","",IF(OR(AO87="Fr",AO87="La",AO87="Sn"),IF(AO87&lt;&gt;IFERROR(VLOOKUP(Wahlbogen!$B$6,F!$A$2:$C$22,3,0),"Sp"),"",AO87),AO87))</f>
        <v/>
      </c>
      <c r="AX87" s="62" t="str">
        <f t="shared" si="103"/>
        <v/>
      </c>
      <c r="AY87" s="62" t="str">
        <f t="shared" si="104"/>
        <v/>
      </c>
      <c r="AZ87" s="62" t="str">
        <f t="shared" si="105"/>
        <v/>
      </c>
      <c r="BA87" s="62" t="str">
        <f t="shared" si="106"/>
        <v/>
      </c>
      <c r="BC87" s="62" t="str">
        <f t="shared" si="107"/>
        <v/>
      </c>
      <c r="BD87" s="62" t="str">
        <f t="shared" si="108"/>
        <v/>
      </c>
      <c r="BE87" s="62" t="str">
        <f t="shared" si="109"/>
        <v/>
      </c>
      <c r="BF87" s="62" t="str">
        <f t="shared" si="110"/>
        <v/>
      </c>
      <c r="BH87" s="62" t="str">
        <f t="shared" si="111"/>
        <v/>
      </c>
      <c r="BI87" s="62" t="str">
        <f t="shared" si="112"/>
        <v/>
      </c>
      <c r="BJ87" s="62" t="str">
        <f t="shared" si="113"/>
        <v/>
      </c>
      <c r="BK87" s="62" t="str">
        <f t="shared" si="114"/>
        <v/>
      </c>
      <c r="BM87" s="62" t="str">
        <f t="shared" si="115"/>
        <v>Ge</v>
      </c>
      <c r="BN87" s="62" t="str">
        <f t="shared" si="116"/>
        <v>Ge</v>
      </c>
      <c r="BO87" s="62" t="str">
        <f t="shared" si="117"/>
        <v>Ma</v>
      </c>
      <c r="BP87" s="62" t="str">
        <f t="shared" si="118"/>
        <v>Ge</v>
      </c>
    </row>
    <row r="88" spans="1:68" ht="15.75" thickBot="1" x14ac:dyDescent="0.3">
      <c r="A88" s="45"/>
      <c r="B88" s="40" t="str">
        <f t="shared" si="86"/>
        <v/>
      </c>
      <c r="D88" s="67" t="s">
        <v>247</v>
      </c>
      <c r="Q88" s="12"/>
      <c r="R88" s="63" t="str">
        <f t="shared" si="87"/>
        <v>Politik-Wirtschaft</v>
      </c>
      <c r="S88" s="63" t="str">
        <f t="shared" si="88"/>
        <v>Politik-Wirtschaft</v>
      </c>
      <c r="T88" s="63" t="str">
        <f t="shared" si="89"/>
        <v>Biologie</v>
      </c>
      <c r="U88" s="63" t="str">
        <f t="shared" si="90"/>
        <v>Politik-Wirtschaft</v>
      </c>
      <c r="V88" s="11" t="str">
        <f t="shared" si="91"/>
        <v/>
      </c>
      <c r="W88" s="11" t="str">
        <f t="shared" si="92"/>
        <v/>
      </c>
      <c r="X88" s="11" t="str">
        <f t="shared" si="93"/>
        <v/>
      </c>
      <c r="Y88" s="11" t="str">
        <f t="shared" si="94"/>
        <v/>
      </c>
      <c r="AL88" s="14" t="s">
        <v>59</v>
      </c>
      <c r="AM88" s="14" t="s">
        <v>59</v>
      </c>
      <c r="AN88" s="14" t="s">
        <v>59</v>
      </c>
      <c r="AO88" s="14" t="s">
        <v>59</v>
      </c>
      <c r="AQ88" s="60">
        <v>5</v>
      </c>
      <c r="AS88" s="62" t="str">
        <f>IF(AL88="","",IF(OR(AL88="Fr",AL88="La",AL88="Sn"),IF(AL88&lt;&gt;IFERROR(VLOOKUP(Wahlbogen!$B$6,F!$A$2:$C$22,3,0),"Sp"),"",AL88),AL88))</f>
        <v/>
      </c>
      <c r="AT88" s="62" t="str">
        <f>IF(AM88="","",IF(OR(AM88="Fr",AM88="La",AM88="Sn"),IF(AM88&lt;&gt;IFERROR(VLOOKUP(Wahlbogen!$B$6,F!$A$2:$C$22,3,0),"Sp"),"",AM88),AM88))</f>
        <v/>
      </c>
      <c r="AU88" s="62" t="str">
        <f>IF(AN88="","",IF(OR(AN88="Fr",AN88="La",AN88="Sn"),IF(AN88&lt;&gt;IFERROR(VLOOKUP(Wahlbogen!$B$6,F!$A$2:$C$22,3,0),"Sp"),"",AN88),AN88))</f>
        <v/>
      </c>
      <c r="AV88" s="62" t="str">
        <f>IF(AO88="","",IF(OR(AO88="Fr",AO88="La",AO88="Sn"),IF(AO88&lt;&gt;IFERROR(VLOOKUP(Wahlbogen!$B$6,F!$A$2:$C$22,3,0),"Sp"),"",AO88),AO88))</f>
        <v/>
      </c>
      <c r="AX88" s="62" t="str">
        <f t="shared" si="103"/>
        <v/>
      </c>
      <c r="AY88" s="62" t="str">
        <f t="shared" si="104"/>
        <v/>
      </c>
      <c r="AZ88" s="62" t="str">
        <f t="shared" si="105"/>
        <v/>
      </c>
      <c r="BA88" s="62" t="str">
        <f t="shared" si="106"/>
        <v/>
      </c>
      <c r="BC88" s="62" t="str">
        <f t="shared" si="107"/>
        <v/>
      </c>
      <c r="BD88" s="62" t="str">
        <f t="shared" si="108"/>
        <v/>
      </c>
      <c r="BE88" s="62" t="str">
        <f t="shared" si="109"/>
        <v/>
      </c>
      <c r="BF88" s="62" t="str">
        <f t="shared" si="110"/>
        <v/>
      </c>
      <c r="BH88" s="62" t="str">
        <f t="shared" si="111"/>
        <v/>
      </c>
      <c r="BI88" s="62" t="str">
        <f t="shared" si="112"/>
        <v/>
      </c>
      <c r="BJ88" s="62" t="str">
        <f t="shared" si="113"/>
        <v/>
      </c>
      <c r="BK88" s="62" t="str">
        <f t="shared" si="114"/>
        <v/>
      </c>
      <c r="BM88" s="62" t="str">
        <f t="shared" si="115"/>
        <v>Po</v>
      </c>
      <c r="BN88" s="62" t="str">
        <f t="shared" si="116"/>
        <v>Po</v>
      </c>
      <c r="BO88" s="62" t="str">
        <f t="shared" si="117"/>
        <v>Bi</v>
      </c>
      <c r="BP88" s="62" t="str">
        <f t="shared" si="118"/>
        <v>Po</v>
      </c>
    </row>
    <row r="89" spans="1:68" x14ac:dyDescent="0.25">
      <c r="D89" s="68" t="s">
        <v>248</v>
      </c>
      <c r="Q89" s="12"/>
      <c r="R89" s="63" t="str">
        <f t="shared" si="87"/>
        <v>Erdkunde</v>
      </c>
      <c r="S89" s="63" t="str">
        <f t="shared" si="88"/>
        <v>Erdkunde</v>
      </c>
      <c r="T89" s="63" t="str">
        <f t="shared" si="89"/>
        <v>Chemie</v>
      </c>
      <c r="U89" s="63" t="str">
        <f t="shared" si="90"/>
        <v>Erdkunde</v>
      </c>
      <c r="V89" s="11" t="str">
        <f t="shared" si="91"/>
        <v/>
      </c>
      <c r="W89" s="11" t="str">
        <f t="shared" si="92"/>
        <v/>
      </c>
      <c r="X89" s="11" t="str">
        <f t="shared" si="93"/>
        <v/>
      </c>
      <c r="Y89" s="11" t="str">
        <f t="shared" si="94"/>
        <v/>
      </c>
      <c r="AL89" s="14"/>
      <c r="AM89" s="14"/>
      <c r="AN89" s="14"/>
      <c r="AO89" s="14"/>
      <c r="AQ89" s="60">
        <v>6</v>
      </c>
      <c r="AS89" s="62" t="str">
        <f>IF(AL89="","",IF(OR(AL89="Fr",AL89="La",AL89="Sn"),IF(AL89&lt;&gt;IFERROR(VLOOKUP(Wahlbogen!$B$6,F!$A$2:$C$22,3,0),"Sp"),"",AL89),AL89))</f>
        <v/>
      </c>
      <c r="AT89" s="62" t="str">
        <f>IF(AM89="","",IF(OR(AM89="Fr",AM89="La",AM89="Sn"),IF(AM89&lt;&gt;IFERROR(VLOOKUP(Wahlbogen!$B$6,F!$A$2:$C$22,3,0),"Sp"),"",AM89),AM89))</f>
        <v/>
      </c>
      <c r="AU89" s="62" t="str">
        <f>IF(AN89="","",IF(OR(AN89="Fr",AN89="La",AN89="Sn"),IF(AN89&lt;&gt;IFERROR(VLOOKUP(Wahlbogen!$B$6,F!$A$2:$C$22,3,0),"Sp"),"",AN89),AN89))</f>
        <v/>
      </c>
      <c r="AV89" s="62" t="str">
        <f>IF(AO89="","",IF(OR(AO89="Fr",AO89="La",AO89="Sn"),IF(AO89&lt;&gt;IFERROR(VLOOKUP(Wahlbogen!$B$6,F!$A$2:$C$22,3,0),"Sp"),"",AO89),AO89))</f>
        <v/>
      </c>
      <c r="AX89" s="62" t="str">
        <f t="shared" si="103"/>
        <v/>
      </c>
      <c r="AY89" s="62" t="str">
        <f t="shared" si="104"/>
        <v/>
      </c>
      <c r="AZ89" s="62" t="str">
        <f t="shared" si="105"/>
        <v/>
      </c>
      <c r="BA89" s="62" t="str">
        <f t="shared" si="106"/>
        <v/>
      </c>
      <c r="BC89" s="62" t="str">
        <f t="shared" si="107"/>
        <v/>
      </c>
      <c r="BD89" s="62" t="str">
        <f t="shared" si="108"/>
        <v/>
      </c>
      <c r="BE89" s="62" t="str">
        <f t="shared" si="109"/>
        <v/>
      </c>
      <c r="BF89" s="62" t="str">
        <f t="shared" si="110"/>
        <v/>
      </c>
      <c r="BH89" s="62" t="str">
        <f t="shared" si="111"/>
        <v/>
      </c>
      <c r="BI89" s="62" t="str">
        <f t="shared" si="112"/>
        <v/>
      </c>
      <c r="BJ89" s="62" t="str">
        <f t="shared" si="113"/>
        <v/>
      </c>
      <c r="BK89" s="62" t="str">
        <f t="shared" si="114"/>
        <v/>
      </c>
      <c r="BM89" s="62" t="str">
        <f t="shared" si="115"/>
        <v>Ek</v>
      </c>
      <c r="BN89" s="62" t="str">
        <f t="shared" si="116"/>
        <v>Ek</v>
      </c>
      <c r="BO89" s="62" t="str">
        <f t="shared" si="117"/>
        <v>Ch</v>
      </c>
      <c r="BP89" s="62" t="str">
        <f t="shared" si="118"/>
        <v>Ek</v>
      </c>
    </row>
    <row r="90" spans="1:68" x14ac:dyDescent="0.25">
      <c r="D90" s="67" t="s">
        <v>249</v>
      </c>
      <c r="Q90" s="12"/>
      <c r="R90" s="63" t="str">
        <f t="shared" si="87"/>
        <v>Ev. Religion</v>
      </c>
      <c r="S90" s="63" t="str">
        <f t="shared" si="88"/>
        <v>Ev. Religion</v>
      </c>
      <c r="T90" s="63" t="str">
        <f t="shared" si="89"/>
        <v>Physik</v>
      </c>
      <c r="U90" s="63" t="str">
        <f t="shared" si="90"/>
        <v>Ev. Religion</v>
      </c>
      <c r="V90" s="11" t="str">
        <f t="shared" si="91"/>
        <v/>
      </c>
      <c r="W90" s="11" t="str">
        <f t="shared" si="92"/>
        <v/>
      </c>
      <c r="X90" s="11" t="str">
        <f t="shared" si="93"/>
        <v/>
      </c>
      <c r="Y90" s="11" t="str">
        <f t="shared" si="94"/>
        <v/>
      </c>
      <c r="AB90" s="18" t="s">
        <v>123</v>
      </c>
      <c r="AL90" s="14" t="s">
        <v>50</v>
      </c>
      <c r="AM90" s="14" t="s">
        <v>50</v>
      </c>
      <c r="AN90" s="14"/>
      <c r="AO90" s="14" t="s">
        <v>50</v>
      </c>
      <c r="AQ90" s="60">
        <v>7</v>
      </c>
      <c r="AS90" s="62" t="str">
        <f>IF(AL90="","",IF(OR(AL90="Fr",AL90="La",AL90="Sn"),IF(AL90&lt;&gt;IFERROR(VLOOKUP(Wahlbogen!$B$6,F!$A$2:$C$22,3,0),"Sp"),"",AL90),AL90))</f>
        <v>Ge</v>
      </c>
      <c r="AT90" s="62" t="str">
        <f>IF(AM90="","",IF(OR(AM90="Fr",AM90="La",AM90="Sn"),IF(AM90&lt;&gt;IFERROR(VLOOKUP(Wahlbogen!$B$6,F!$A$2:$C$22,3,0),"Sp"),"",AM90),AM90))</f>
        <v>Ge</v>
      </c>
      <c r="AU90" s="62" t="str">
        <f>IF(AN90="","",IF(OR(AN90="Fr",AN90="La",AN90="Sn"),IF(AN90&lt;&gt;IFERROR(VLOOKUP(Wahlbogen!$B$6,F!$A$2:$C$22,3,0),"Sp"),"",AN90),AN90))</f>
        <v/>
      </c>
      <c r="AV90" s="62" t="str">
        <f>IF(AO90="","",IF(OR(AO90="Fr",AO90="La",AO90="Sn"),IF(AO90&lt;&gt;IFERROR(VLOOKUP(Wahlbogen!$B$6,F!$A$2:$C$22,3,0),"Sp"),"",AO90),AO90))</f>
        <v>Ge</v>
      </c>
      <c r="AX90" s="62">
        <f t="shared" si="103"/>
        <v>10</v>
      </c>
      <c r="AY90" s="62">
        <f t="shared" si="104"/>
        <v>10</v>
      </c>
      <c r="AZ90" s="62" t="str">
        <f t="shared" si="105"/>
        <v/>
      </c>
      <c r="BA90" s="62">
        <f t="shared" si="106"/>
        <v>10</v>
      </c>
      <c r="BC90" s="62">
        <f t="shared" si="107"/>
        <v>4</v>
      </c>
      <c r="BD90" s="62">
        <f t="shared" si="108"/>
        <v>4</v>
      </c>
      <c r="BE90" s="62" t="str">
        <f t="shared" si="109"/>
        <v/>
      </c>
      <c r="BF90" s="62">
        <f t="shared" si="110"/>
        <v>4</v>
      </c>
      <c r="BH90" s="62" t="str">
        <f t="shared" si="111"/>
        <v>Ge</v>
      </c>
      <c r="BI90" s="62" t="str">
        <f t="shared" si="112"/>
        <v>Ge</v>
      </c>
      <c r="BJ90" s="62" t="str">
        <f t="shared" si="113"/>
        <v/>
      </c>
      <c r="BK90" s="62" t="str">
        <f t="shared" si="114"/>
        <v>Ge</v>
      </c>
      <c r="BM90" s="62" t="str">
        <f t="shared" si="115"/>
        <v>Re</v>
      </c>
      <c r="BN90" s="62" t="str">
        <f t="shared" si="116"/>
        <v>Re</v>
      </c>
      <c r="BO90" s="62" t="str">
        <f t="shared" si="117"/>
        <v>Ph</v>
      </c>
      <c r="BP90" s="62" t="str">
        <f t="shared" si="118"/>
        <v>Re</v>
      </c>
    </row>
    <row r="91" spans="1:68" ht="15.75" thickBot="1" x14ac:dyDescent="0.3">
      <c r="Q91" s="12"/>
      <c r="R91" s="63" t="str">
        <f t="shared" si="87"/>
        <v>Werte und Normen</v>
      </c>
      <c r="S91" s="63" t="str">
        <f t="shared" si="88"/>
        <v>Werte und Normen</v>
      </c>
      <c r="T91" s="63">
        <f t="shared" si="89"/>
        <v>0</v>
      </c>
      <c r="U91" s="63" t="str">
        <f t="shared" si="90"/>
        <v>Werte und Normen</v>
      </c>
      <c r="V91" s="11" t="str">
        <f t="shared" si="91"/>
        <v/>
      </c>
      <c r="W91" s="11" t="str">
        <f t="shared" si="92"/>
        <v/>
      </c>
      <c r="X91" s="11" t="str">
        <f t="shared" si="93"/>
        <v/>
      </c>
      <c r="Y91" s="11" t="str">
        <f t="shared" si="94"/>
        <v/>
      </c>
      <c r="AB91" s="18" t="s">
        <v>124</v>
      </c>
      <c r="AL91" s="14" t="s">
        <v>58</v>
      </c>
      <c r="AM91" s="14" t="s">
        <v>58</v>
      </c>
      <c r="AN91" s="14"/>
      <c r="AO91" s="14" t="s">
        <v>58</v>
      </c>
      <c r="AQ91" s="60">
        <v>8</v>
      </c>
      <c r="AS91" s="62" t="str">
        <f>IF(AL91="","",IF(OR(AL91="Fr",AL91="La",AL91="Sn"),IF(AL91&lt;&gt;IFERROR(VLOOKUP(Wahlbogen!$B$6,F!$A$2:$C$22,3,0),"Sp"),"",AL91),AL91))</f>
        <v>Po</v>
      </c>
      <c r="AT91" s="62" t="str">
        <f>IF(AM91="","",IF(OR(AM91="Fr",AM91="La",AM91="Sn"),IF(AM91&lt;&gt;IFERROR(VLOOKUP(Wahlbogen!$B$6,F!$A$2:$C$22,3,0),"Sp"),"",AM91),AM91))</f>
        <v>Po</v>
      </c>
      <c r="AU91" s="62" t="str">
        <f>IF(AN91="","",IF(OR(AN91="Fr",AN91="La",AN91="Sn"),IF(AN91&lt;&gt;IFERROR(VLOOKUP(Wahlbogen!$B$6,F!$A$2:$C$22,3,0),"Sp"),"",AN91),AN91))</f>
        <v/>
      </c>
      <c r="AV91" s="62" t="str">
        <f>IF(AO91="","",IF(OR(AO91="Fr",AO91="La",AO91="Sn"),IF(AO91&lt;&gt;IFERROR(VLOOKUP(Wahlbogen!$B$6,F!$A$2:$C$22,3,0),"Sp"),"",AO91),AO91))</f>
        <v>Po</v>
      </c>
      <c r="AX91" s="62">
        <f t="shared" si="103"/>
        <v>11</v>
      </c>
      <c r="AY91" s="62">
        <f t="shared" si="104"/>
        <v>11</v>
      </c>
      <c r="AZ91" s="62" t="str">
        <f t="shared" si="105"/>
        <v/>
      </c>
      <c r="BA91" s="62">
        <f t="shared" si="106"/>
        <v>11</v>
      </c>
      <c r="BC91" s="62">
        <f t="shared" si="107"/>
        <v>5</v>
      </c>
      <c r="BD91" s="62">
        <f t="shared" si="108"/>
        <v>5</v>
      </c>
      <c r="BE91" s="62" t="str">
        <f t="shared" si="109"/>
        <v/>
      </c>
      <c r="BF91" s="62">
        <f t="shared" si="110"/>
        <v>5</v>
      </c>
      <c r="BH91" s="62" t="str">
        <f t="shared" si="111"/>
        <v>Po</v>
      </c>
      <c r="BI91" s="62" t="str">
        <f t="shared" si="112"/>
        <v>Po</v>
      </c>
      <c r="BJ91" s="62" t="str">
        <f t="shared" si="113"/>
        <v/>
      </c>
      <c r="BK91" s="62" t="str">
        <f t="shared" si="114"/>
        <v>Po</v>
      </c>
      <c r="BM91" s="62" t="str">
        <f t="shared" si="115"/>
        <v>Wn</v>
      </c>
      <c r="BN91" s="62" t="str">
        <f t="shared" si="116"/>
        <v>Wn</v>
      </c>
      <c r="BO91" s="62" t="str">
        <f t="shared" si="117"/>
        <v/>
      </c>
      <c r="BP91" s="62" t="str">
        <f t="shared" si="118"/>
        <v>Wn</v>
      </c>
    </row>
    <row r="92" spans="1:68" x14ac:dyDescent="0.25">
      <c r="A92" s="46" t="s">
        <v>261</v>
      </c>
      <c r="B92" s="37" t="str">
        <f>IF(A92="","",LEFT(A92,FIND(":",A92)-1))</f>
        <v>sp31</v>
      </c>
      <c r="F92" s="70"/>
      <c r="Q92" s="12"/>
      <c r="R92" s="63" t="str">
        <f t="shared" si="87"/>
        <v>Mathematik</v>
      </c>
      <c r="S92" s="63" t="str">
        <f t="shared" si="88"/>
        <v>Mathematik</v>
      </c>
      <c r="T92" s="63">
        <f t="shared" si="89"/>
        <v>0</v>
      </c>
      <c r="U92" s="63" t="str">
        <f t="shared" si="90"/>
        <v>Mathematik</v>
      </c>
      <c r="W92" s="11"/>
      <c r="X92" s="11"/>
      <c r="Y92" s="11"/>
      <c r="AL92" s="14" t="s">
        <v>47</v>
      </c>
      <c r="AM92" s="14" t="s">
        <v>47</v>
      </c>
      <c r="AN92" s="14"/>
      <c r="AO92" s="14" t="s">
        <v>47</v>
      </c>
      <c r="AQ92" s="60">
        <v>9</v>
      </c>
      <c r="AS92" s="62" t="str">
        <f>IF(AL92="","",IF(OR(AL92="Fr",AL92="La",AL92="Sn"),IF(AL92&lt;&gt;IFERROR(VLOOKUP(Wahlbogen!$B$6,F!$A$2:$C$22,3,0),"Sp"),"",AL92),AL92))</f>
        <v>Ek</v>
      </c>
      <c r="AT92" s="62" t="str">
        <f>IF(AM92="","",IF(OR(AM92="Fr",AM92="La",AM92="Sn"),IF(AM92&lt;&gt;IFERROR(VLOOKUP(Wahlbogen!$B$6,F!$A$2:$C$22,3,0),"Sp"),"",AM92),AM92))</f>
        <v>Ek</v>
      </c>
      <c r="AU92" s="62" t="str">
        <f>IF(AN92="","",IF(OR(AN92="Fr",AN92="La",AN92="Sn"),IF(AN92&lt;&gt;IFERROR(VLOOKUP(Wahlbogen!$B$6,F!$A$2:$C$22,3,0),"Sp"),"",AN92),AN92))</f>
        <v/>
      </c>
      <c r="AV92" s="62" t="str">
        <f>IF(AO92="","",IF(OR(AO92="Fr",AO92="La",AO92="Sn"),IF(AO92&lt;&gt;IFERROR(VLOOKUP(Wahlbogen!$B$6,F!$A$2:$C$22,3,0),"Sp"),"",AO92),AO92))</f>
        <v>Ek</v>
      </c>
      <c r="AX92" s="62">
        <f t="shared" si="103"/>
        <v>12</v>
      </c>
      <c r="AY92" s="62">
        <f t="shared" si="104"/>
        <v>12</v>
      </c>
      <c r="AZ92" s="62" t="str">
        <f t="shared" si="105"/>
        <v/>
      </c>
      <c r="BA92" s="62">
        <f t="shared" si="106"/>
        <v>12</v>
      </c>
      <c r="BC92" s="62">
        <f t="shared" si="107"/>
        <v>6</v>
      </c>
      <c r="BD92" s="62">
        <f t="shared" si="108"/>
        <v>6</v>
      </c>
      <c r="BE92" s="62" t="str">
        <f t="shared" si="109"/>
        <v/>
      </c>
      <c r="BF92" s="62">
        <f t="shared" si="110"/>
        <v>6</v>
      </c>
      <c r="BH92" s="62" t="str">
        <f t="shared" si="111"/>
        <v>Ek</v>
      </c>
      <c r="BI92" s="62" t="str">
        <f t="shared" si="112"/>
        <v>Ek</v>
      </c>
      <c r="BJ92" s="62" t="str">
        <f t="shared" si="113"/>
        <v/>
      </c>
      <c r="BK92" s="62" t="str">
        <f t="shared" si="114"/>
        <v>Ek</v>
      </c>
      <c r="BM92" s="62" t="str">
        <f t="shared" si="115"/>
        <v>Ma</v>
      </c>
      <c r="BN92" s="62" t="str">
        <f t="shared" si="116"/>
        <v>Ma</v>
      </c>
      <c r="BO92" s="62" t="str">
        <f t="shared" si="117"/>
        <v/>
      </c>
      <c r="BP92" s="62" t="str">
        <f t="shared" si="118"/>
        <v>Ma</v>
      </c>
    </row>
    <row r="93" spans="1:68" x14ac:dyDescent="0.25">
      <c r="A93" s="47" t="s">
        <v>262</v>
      </c>
      <c r="B93" s="38" t="str">
        <f t="shared" ref="B93:B99" si="120">IF(A93="","",LEFT(A93,FIND(":",A93)-1))</f>
        <v>sp32</v>
      </c>
      <c r="F93" t="s">
        <v>251</v>
      </c>
      <c r="Q93" s="12"/>
      <c r="R93" s="63" t="str">
        <f t="shared" si="87"/>
        <v>Biologie</v>
      </c>
      <c r="S93" s="63" t="str">
        <f t="shared" si="88"/>
        <v>Biologie</v>
      </c>
      <c r="T93" s="63">
        <f t="shared" si="89"/>
        <v>0</v>
      </c>
      <c r="U93" s="63" t="str">
        <f t="shared" si="90"/>
        <v>Biologie</v>
      </c>
      <c r="W93" s="11"/>
      <c r="X93" s="11"/>
      <c r="Y93" s="11"/>
      <c r="AL93" s="14" t="s">
        <v>48</v>
      </c>
      <c r="AM93" s="14" t="s">
        <v>48</v>
      </c>
      <c r="AN93" s="14"/>
      <c r="AO93" s="14" t="s">
        <v>48</v>
      </c>
      <c r="AQ93" s="60">
        <v>10</v>
      </c>
      <c r="AS93" s="62" t="str">
        <f>IF(AL93="","",IF(OR(AL93="Fr",AL93="La",AL93="Sn"),IF(AL93&lt;&gt;IFERROR(VLOOKUP(Wahlbogen!$B$6,F!$A$2:$C$22,3,0),"Sp"),"",AL93),AL93))</f>
        <v>Re</v>
      </c>
      <c r="AT93" s="62" t="str">
        <f>IF(AM93="","",IF(OR(AM93="Fr",AM93="La",AM93="Sn"),IF(AM93&lt;&gt;IFERROR(VLOOKUP(Wahlbogen!$B$6,F!$A$2:$C$22,3,0),"Sp"),"",AM93),AM93))</f>
        <v>Re</v>
      </c>
      <c r="AU93" s="62" t="str">
        <f>IF(AN93="","",IF(OR(AN93="Fr",AN93="La",AN93="Sn"),IF(AN93&lt;&gt;IFERROR(VLOOKUP(Wahlbogen!$B$6,F!$A$2:$C$22,3,0),"Sp"),"",AN93),AN93))</f>
        <v/>
      </c>
      <c r="AV93" s="62" t="str">
        <f>IF(AO93="","",IF(OR(AO93="Fr",AO93="La",AO93="Sn"),IF(AO93&lt;&gt;IFERROR(VLOOKUP(Wahlbogen!$B$6,F!$A$2:$C$22,3,0),"Sp"),"",AO93),AO93))</f>
        <v>Re</v>
      </c>
      <c r="AX93" s="62">
        <f t="shared" si="103"/>
        <v>13</v>
      </c>
      <c r="AY93" s="62">
        <f t="shared" si="104"/>
        <v>13</v>
      </c>
      <c r="AZ93" s="62" t="str">
        <f t="shared" si="105"/>
        <v/>
      </c>
      <c r="BA93" s="62">
        <f t="shared" si="106"/>
        <v>13</v>
      </c>
      <c r="BC93" s="62">
        <f t="shared" si="107"/>
        <v>7</v>
      </c>
      <c r="BD93" s="62">
        <f t="shared" si="108"/>
        <v>7</v>
      </c>
      <c r="BE93" s="62" t="str">
        <f t="shared" si="109"/>
        <v/>
      </c>
      <c r="BF93" s="62">
        <f t="shared" si="110"/>
        <v>7</v>
      </c>
      <c r="BH93" s="62" t="str">
        <f t="shared" si="111"/>
        <v>Re</v>
      </c>
      <c r="BI93" s="62" t="str">
        <f t="shared" si="112"/>
        <v>Re</v>
      </c>
      <c r="BJ93" s="62" t="str">
        <f t="shared" si="113"/>
        <v/>
      </c>
      <c r="BK93" s="62" t="str">
        <f t="shared" si="114"/>
        <v>Re</v>
      </c>
      <c r="BM93" s="62" t="str">
        <f t="shared" si="115"/>
        <v>Bi</v>
      </c>
      <c r="BN93" s="62" t="str">
        <f t="shared" si="116"/>
        <v>Bi</v>
      </c>
      <c r="BO93" s="62" t="str">
        <f t="shared" si="117"/>
        <v/>
      </c>
      <c r="BP93" s="62" t="str">
        <f t="shared" si="118"/>
        <v>Bi</v>
      </c>
    </row>
    <row r="94" spans="1:68" x14ac:dyDescent="0.25">
      <c r="A94" s="47" t="s">
        <v>263</v>
      </c>
      <c r="B94" s="38" t="str">
        <f t="shared" si="120"/>
        <v>sp33</v>
      </c>
      <c r="F94" t="s">
        <v>252</v>
      </c>
      <c r="Q94" s="12"/>
      <c r="R94" s="63" t="str">
        <f t="shared" si="87"/>
        <v>Chemie</v>
      </c>
      <c r="S94" s="63" t="str">
        <f t="shared" si="88"/>
        <v>Chemie</v>
      </c>
      <c r="T94" s="63">
        <f t="shared" si="89"/>
        <v>0</v>
      </c>
      <c r="U94" s="63" t="str">
        <f t="shared" si="90"/>
        <v>Chemie</v>
      </c>
      <c r="W94" s="11"/>
      <c r="X94" s="11"/>
      <c r="Y94" s="11"/>
      <c r="AL94" s="14" t="s">
        <v>60</v>
      </c>
      <c r="AM94" s="14" t="s">
        <v>60</v>
      </c>
      <c r="AN94" s="14" t="s">
        <v>19</v>
      </c>
      <c r="AO94" s="14" t="s">
        <v>60</v>
      </c>
      <c r="AQ94" s="60">
        <v>11</v>
      </c>
      <c r="AS94" s="62" t="str">
        <f>IF(AL94="","",IF(OR(AL94="Fr",AL94="La",AL94="Sn"),IF(AL94&lt;&gt;IFERROR(VLOOKUP(Wahlbogen!$B$6,F!$A$2:$C$22,3,0),"Sp"),"",AL94),AL94))</f>
        <v>Wn</v>
      </c>
      <c r="AT94" s="62" t="str">
        <f>IF(AM94="","",IF(OR(AM94="Fr",AM94="La",AM94="Sn"),IF(AM94&lt;&gt;IFERROR(VLOOKUP(Wahlbogen!$B$6,F!$A$2:$C$22,3,0),"Sp"),"",AM94),AM94))</f>
        <v>Wn</v>
      </c>
      <c r="AU94" s="62" t="str">
        <f>IF(AN94="","",IF(OR(AN94="Fr",AN94="La",AN94="Sn"),IF(AN94&lt;&gt;IFERROR(VLOOKUP(Wahlbogen!$B$6,F!$A$2:$C$22,3,0),"Sp"),"",AN94),AN94))</f>
        <v/>
      </c>
      <c r="AV94" s="62" t="str">
        <f>IF(AO94="","",IF(OR(AO94="Fr",AO94="La",AO94="Sn"),IF(AO94&lt;&gt;IFERROR(VLOOKUP(Wahlbogen!$B$6,F!$A$2:$C$22,3,0),"Sp"),"",AO94),AO94))</f>
        <v>Wn</v>
      </c>
      <c r="AX94" s="62">
        <f t="shared" si="103"/>
        <v>14</v>
      </c>
      <c r="AY94" s="62">
        <f t="shared" si="104"/>
        <v>14</v>
      </c>
      <c r="AZ94" s="62" t="str">
        <f t="shared" si="105"/>
        <v/>
      </c>
      <c r="BA94" s="62">
        <f t="shared" si="106"/>
        <v>14</v>
      </c>
      <c r="BC94" s="62">
        <f t="shared" si="107"/>
        <v>8</v>
      </c>
      <c r="BD94" s="62">
        <f t="shared" si="108"/>
        <v>8</v>
      </c>
      <c r="BE94" s="62" t="str">
        <f t="shared" si="109"/>
        <v/>
      </c>
      <c r="BF94" s="62">
        <f t="shared" si="110"/>
        <v>8</v>
      </c>
      <c r="BH94" s="62" t="str">
        <f t="shared" si="111"/>
        <v>Wn</v>
      </c>
      <c r="BI94" s="62" t="str">
        <f t="shared" si="112"/>
        <v>Wn</v>
      </c>
      <c r="BJ94" s="62" t="str">
        <f t="shared" si="113"/>
        <v/>
      </c>
      <c r="BK94" s="62" t="str">
        <f t="shared" si="114"/>
        <v>Wn</v>
      </c>
      <c r="BM94" s="62" t="str">
        <f t="shared" si="115"/>
        <v>Ch</v>
      </c>
      <c r="BN94" s="62" t="str">
        <f t="shared" si="116"/>
        <v>Ch</v>
      </c>
      <c r="BO94" s="62" t="str">
        <f t="shared" si="117"/>
        <v/>
      </c>
      <c r="BP94" s="62" t="str">
        <f t="shared" si="118"/>
        <v>Ch</v>
      </c>
    </row>
    <row r="95" spans="1:68" x14ac:dyDescent="0.25">
      <c r="A95" s="47" t="s">
        <v>264</v>
      </c>
      <c r="B95" s="38" t="str">
        <f t="shared" si="120"/>
        <v>sp34</v>
      </c>
      <c r="F95" t="s">
        <v>253</v>
      </c>
      <c r="Q95" s="12"/>
      <c r="R95" s="63" t="str">
        <f t="shared" si="87"/>
        <v>Physik</v>
      </c>
      <c r="S95" s="63" t="str">
        <f t="shared" si="88"/>
        <v>Physik</v>
      </c>
      <c r="T95" s="63">
        <f t="shared" si="89"/>
        <v>0</v>
      </c>
      <c r="U95" s="63" t="str">
        <f t="shared" si="90"/>
        <v>Physik</v>
      </c>
      <c r="W95" s="11"/>
      <c r="X95" s="11"/>
      <c r="Y95" s="11"/>
      <c r="AL95" s="14"/>
      <c r="AM95" s="14"/>
      <c r="AN95" s="14" t="s">
        <v>19</v>
      </c>
      <c r="AO95" s="14"/>
      <c r="AQ95" s="60">
        <v>12</v>
      </c>
      <c r="AS95" s="62" t="str">
        <f>IF(AL95="","",IF(OR(AL95="Fr",AL95="La",AL95="Sn"),IF(AL95&lt;&gt;IFERROR(VLOOKUP(Wahlbogen!$B$6,F!$A$2:$C$22,3,0),"Sp"),"",AL95),AL95))</f>
        <v/>
      </c>
      <c r="AT95" s="62" t="str">
        <f>IF(AM95="","",IF(OR(AM95="Fr",AM95="La",AM95="Sn"),IF(AM95&lt;&gt;IFERROR(VLOOKUP(Wahlbogen!$B$6,F!$A$2:$C$22,3,0),"Sp"),"",AM95),AM95))</f>
        <v/>
      </c>
      <c r="AU95" s="62" t="str">
        <f>IF(AN95="","",IF(OR(AN95="Fr",AN95="La",AN95="Sn"),IF(AN95&lt;&gt;IFERROR(VLOOKUP(Wahlbogen!$B$6,F!$A$2:$C$22,3,0),"Sp"),"",AN95),AN95))</f>
        <v/>
      </c>
      <c r="AV95" s="62" t="str">
        <f>IF(AO95="","",IF(OR(AO95="Fr",AO95="La",AO95="Sn"),IF(AO95&lt;&gt;IFERROR(VLOOKUP(Wahlbogen!$B$6,F!$A$2:$C$22,3,0),"Sp"),"",AO95),AO95))</f>
        <v/>
      </c>
      <c r="AX95" s="62" t="str">
        <f t="shared" si="103"/>
        <v/>
      </c>
      <c r="AY95" s="62" t="str">
        <f t="shared" si="104"/>
        <v/>
      </c>
      <c r="AZ95" s="62" t="str">
        <f t="shared" si="105"/>
        <v/>
      </c>
      <c r="BA95" s="62" t="str">
        <f t="shared" si="106"/>
        <v/>
      </c>
      <c r="BC95" s="62" t="str">
        <f t="shared" si="107"/>
        <v/>
      </c>
      <c r="BD95" s="62" t="str">
        <f t="shared" si="108"/>
        <v/>
      </c>
      <c r="BE95" s="62" t="str">
        <f t="shared" si="109"/>
        <v/>
      </c>
      <c r="BF95" s="62" t="str">
        <f t="shared" si="110"/>
        <v/>
      </c>
      <c r="BH95" s="62" t="str">
        <f t="shared" si="111"/>
        <v/>
      </c>
      <c r="BI95" s="62" t="str">
        <f t="shared" si="112"/>
        <v/>
      </c>
      <c r="BJ95" s="62" t="str">
        <f t="shared" si="113"/>
        <v/>
      </c>
      <c r="BK95" s="62" t="str">
        <f t="shared" si="114"/>
        <v/>
      </c>
      <c r="BM95" s="62" t="str">
        <f t="shared" si="115"/>
        <v>Ph</v>
      </c>
      <c r="BN95" s="62" t="str">
        <f t="shared" si="116"/>
        <v>Ph</v>
      </c>
      <c r="BO95" s="62" t="str">
        <f t="shared" si="117"/>
        <v/>
      </c>
      <c r="BP95" s="62" t="str">
        <f t="shared" si="118"/>
        <v>Ph</v>
      </c>
    </row>
    <row r="96" spans="1:68" x14ac:dyDescent="0.25">
      <c r="A96" s="47" t="s">
        <v>265</v>
      </c>
      <c r="B96" s="38" t="str">
        <f t="shared" si="120"/>
        <v>sp35</v>
      </c>
      <c r="F96" t="s">
        <v>254</v>
      </c>
      <c r="Q96" s="12"/>
      <c r="R96" s="63">
        <f t="shared" si="87"/>
        <v>0</v>
      </c>
      <c r="S96" s="63">
        <f t="shared" si="88"/>
        <v>0</v>
      </c>
      <c r="T96" s="63">
        <f t="shared" si="89"/>
        <v>0</v>
      </c>
      <c r="U96" s="63">
        <f t="shared" si="90"/>
        <v>0</v>
      </c>
      <c r="W96" s="11"/>
      <c r="X96" s="11"/>
      <c r="Y96" s="11"/>
      <c r="AL96" s="14" t="s">
        <v>55</v>
      </c>
      <c r="AM96" s="14" t="s">
        <v>55</v>
      </c>
      <c r="AN96" s="14" t="s">
        <v>55</v>
      </c>
      <c r="AO96" s="14" t="s">
        <v>55</v>
      </c>
      <c r="AQ96" s="60">
        <v>13</v>
      </c>
      <c r="AS96" s="62" t="str">
        <f>IF(AL96="","",IF(OR(AL96="Fr",AL96="La",AL96="Sn"),IF(AL96&lt;&gt;IFERROR(VLOOKUP(Wahlbogen!$B$6,F!$A$2:$C$22,3,0),"Sp"),"",AL96),AL96))</f>
        <v>Ma</v>
      </c>
      <c r="AT96" s="62" t="str">
        <f>IF(AM96="","",IF(OR(AM96="Fr",AM96="La",AM96="Sn"),IF(AM96&lt;&gt;IFERROR(VLOOKUP(Wahlbogen!$B$6,F!$A$2:$C$22,3,0),"Sp"),"",AM96),AM96))</f>
        <v>Ma</v>
      </c>
      <c r="AU96" s="62" t="str">
        <f>IF(AN96="","",IF(OR(AN96="Fr",AN96="La",AN96="Sn"),IF(AN96&lt;&gt;IFERROR(VLOOKUP(Wahlbogen!$B$6,F!$A$2:$C$22,3,0),"Sp"),"",AN96),AN96))</f>
        <v>Ma</v>
      </c>
      <c r="AV96" s="62" t="str">
        <f>IF(AO96="","",IF(OR(AO96="Fr",AO96="La",AO96="Sn"),IF(AO96&lt;&gt;IFERROR(VLOOKUP(Wahlbogen!$B$6,F!$A$2:$C$22,3,0),"Sp"),"",AO96),AO96))</f>
        <v>Ma</v>
      </c>
      <c r="AX96" s="62">
        <f t="shared" si="103"/>
        <v>15</v>
      </c>
      <c r="AY96" s="62">
        <f t="shared" si="104"/>
        <v>15</v>
      </c>
      <c r="AZ96" s="62">
        <f t="shared" si="105"/>
        <v>15</v>
      </c>
      <c r="BA96" s="62">
        <f t="shared" si="106"/>
        <v>15</v>
      </c>
      <c r="BC96" s="62">
        <f t="shared" si="107"/>
        <v>9</v>
      </c>
      <c r="BD96" s="62">
        <f t="shared" si="108"/>
        <v>9</v>
      </c>
      <c r="BE96" s="62">
        <f t="shared" si="109"/>
        <v>4</v>
      </c>
      <c r="BF96" s="62">
        <f t="shared" si="110"/>
        <v>9</v>
      </c>
      <c r="BH96" s="62" t="str">
        <f t="shared" si="111"/>
        <v>Ma</v>
      </c>
      <c r="BI96" s="62" t="str">
        <f t="shared" si="112"/>
        <v>Ma</v>
      </c>
      <c r="BJ96" s="62" t="str">
        <f t="shared" si="113"/>
        <v>Ma</v>
      </c>
      <c r="BK96" s="62" t="str">
        <f t="shared" si="114"/>
        <v>Ma</v>
      </c>
      <c r="BM96" s="62" t="str">
        <f t="shared" si="115"/>
        <v/>
      </c>
      <c r="BN96" s="62" t="str">
        <f t="shared" si="116"/>
        <v/>
      </c>
      <c r="BO96" s="62" t="str">
        <f t="shared" si="117"/>
        <v/>
      </c>
      <c r="BP96" s="62" t="str">
        <f t="shared" si="118"/>
        <v/>
      </c>
    </row>
    <row r="97" spans="1:68" x14ac:dyDescent="0.25">
      <c r="A97" s="44"/>
      <c r="B97" s="38" t="str">
        <f t="shared" si="120"/>
        <v/>
      </c>
      <c r="F97" t="s">
        <v>255</v>
      </c>
      <c r="Q97" s="12"/>
      <c r="R97" s="63">
        <f t="shared" si="87"/>
        <v>0</v>
      </c>
      <c r="S97" s="63">
        <f t="shared" si="88"/>
        <v>0</v>
      </c>
      <c r="T97" s="63">
        <f t="shared" si="89"/>
        <v>0</v>
      </c>
      <c r="U97" s="63">
        <f t="shared" si="90"/>
        <v>0</v>
      </c>
      <c r="W97" s="11"/>
      <c r="X97" s="11"/>
      <c r="Y97" s="11"/>
      <c r="AL97" s="14" t="s">
        <v>42</v>
      </c>
      <c r="AM97" s="14" t="s">
        <v>42</v>
      </c>
      <c r="AN97" s="14" t="s">
        <v>42</v>
      </c>
      <c r="AO97" s="14" t="s">
        <v>42</v>
      </c>
      <c r="AQ97" s="60">
        <v>14</v>
      </c>
      <c r="AS97" s="62" t="str">
        <f>IF(AL97="","",IF(OR(AL97="Fr",AL97="La",AL97="Sn"),IF(AL97&lt;&gt;IFERROR(VLOOKUP(Wahlbogen!$B$6,F!$A$2:$C$22,3,0),"Sp"),"",AL97),AL97))</f>
        <v>Bi</v>
      </c>
      <c r="AT97" s="62" t="str">
        <f>IF(AM97="","",IF(OR(AM97="Fr",AM97="La",AM97="Sn"),IF(AM97&lt;&gt;IFERROR(VLOOKUP(Wahlbogen!$B$6,F!$A$2:$C$22,3,0),"Sp"),"",AM97),AM97))</f>
        <v>Bi</v>
      </c>
      <c r="AU97" s="62" t="str">
        <f>IF(AN97="","",IF(OR(AN97="Fr",AN97="La",AN97="Sn"),IF(AN97&lt;&gt;IFERROR(VLOOKUP(Wahlbogen!$B$6,F!$A$2:$C$22,3,0),"Sp"),"",AN97),AN97))</f>
        <v>Bi</v>
      </c>
      <c r="AV97" s="62" t="str">
        <f>IF(AO97="","",IF(OR(AO97="Fr",AO97="La",AO97="Sn"),IF(AO97&lt;&gt;IFERROR(VLOOKUP(Wahlbogen!$B$6,F!$A$2:$C$22,3,0),"Sp"),"",AO97),AO97))</f>
        <v>Bi</v>
      </c>
      <c r="AX97" s="62">
        <f t="shared" si="103"/>
        <v>16</v>
      </c>
      <c r="AY97" s="62">
        <f t="shared" si="104"/>
        <v>16</v>
      </c>
      <c r="AZ97" s="62">
        <f t="shared" si="105"/>
        <v>16</v>
      </c>
      <c r="BA97" s="62">
        <f t="shared" si="106"/>
        <v>16</v>
      </c>
      <c r="BC97" s="62">
        <f t="shared" si="107"/>
        <v>10</v>
      </c>
      <c r="BD97" s="62">
        <f t="shared" si="108"/>
        <v>10</v>
      </c>
      <c r="BE97" s="62">
        <f t="shared" si="109"/>
        <v>5</v>
      </c>
      <c r="BF97" s="62">
        <f t="shared" si="110"/>
        <v>10</v>
      </c>
      <c r="BH97" s="62" t="str">
        <f t="shared" si="111"/>
        <v>Bi</v>
      </c>
      <c r="BI97" s="62" t="str">
        <f t="shared" si="112"/>
        <v>Bi</v>
      </c>
      <c r="BJ97" s="62" t="str">
        <f t="shared" si="113"/>
        <v>Bi</v>
      </c>
      <c r="BK97" s="62" t="str">
        <f t="shared" si="114"/>
        <v>Bi</v>
      </c>
      <c r="BM97" s="62" t="str">
        <f t="shared" si="115"/>
        <v/>
      </c>
      <c r="BN97" s="62" t="str">
        <f t="shared" si="116"/>
        <v/>
      </c>
      <c r="BO97" s="62" t="str">
        <f t="shared" si="117"/>
        <v/>
      </c>
      <c r="BP97" s="62" t="str">
        <f t="shared" si="118"/>
        <v/>
      </c>
    </row>
    <row r="98" spans="1:68" x14ac:dyDescent="0.25">
      <c r="A98" s="44"/>
      <c r="B98" s="38" t="str">
        <f t="shared" si="120"/>
        <v/>
      </c>
      <c r="F98" t="s">
        <v>256</v>
      </c>
      <c r="Q98" s="12"/>
      <c r="R98" s="63">
        <f t="shared" si="87"/>
        <v>0</v>
      </c>
      <c r="S98" s="63">
        <f t="shared" si="88"/>
        <v>0</v>
      </c>
      <c r="T98" s="63">
        <f t="shared" si="89"/>
        <v>0</v>
      </c>
      <c r="U98" s="63">
        <f t="shared" si="90"/>
        <v>0</v>
      </c>
      <c r="W98" s="11"/>
      <c r="X98" s="11"/>
      <c r="Y98" s="11"/>
      <c r="AL98" s="14" t="s">
        <v>43</v>
      </c>
      <c r="AM98" s="14" t="s">
        <v>43</v>
      </c>
      <c r="AN98" s="14" t="s">
        <v>43</v>
      </c>
      <c r="AO98" s="14" t="s">
        <v>43</v>
      </c>
      <c r="AQ98" s="60">
        <v>15</v>
      </c>
      <c r="AS98" s="62" t="str">
        <f>IF(AL98="","",IF(OR(AL98="Fr",AL98="La",AL98="Sn"),IF(AL98&lt;&gt;IFERROR(VLOOKUP(Wahlbogen!$B$6,F!$A$2:$C$22,3,0),"Sp"),"",AL98),AL98))</f>
        <v>Ch</v>
      </c>
      <c r="AT98" s="62" t="str">
        <f>IF(AM98="","",IF(OR(AM98="Fr",AM98="La",AM98="Sn"),IF(AM98&lt;&gt;IFERROR(VLOOKUP(Wahlbogen!$B$6,F!$A$2:$C$22,3,0),"Sp"),"",AM98),AM98))</f>
        <v>Ch</v>
      </c>
      <c r="AU98" s="62" t="str">
        <f>IF(AN98="","",IF(OR(AN98="Fr",AN98="La",AN98="Sn"),IF(AN98&lt;&gt;IFERROR(VLOOKUP(Wahlbogen!$B$6,F!$A$2:$C$22,3,0),"Sp"),"",AN98),AN98))</f>
        <v>Ch</v>
      </c>
      <c r="AV98" s="62" t="str">
        <f>IF(AO98="","",IF(OR(AO98="Fr",AO98="La",AO98="Sn"),IF(AO98&lt;&gt;IFERROR(VLOOKUP(Wahlbogen!$B$6,F!$A$2:$C$22,3,0),"Sp"),"",AO98),AO98))</f>
        <v>Ch</v>
      </c>
      <c r="AX98" s="62">
        <f t="shared" si="103"/>
        <v>17</v>
      </c>
      <c r="AY98" s="62">
        <f t="shared" si="104"/>
        <v>17</v>
      </c>
      <c r="AZ98" s="62">
        <f t="shared" si="105"/>
        <v>17</v>
      </c>
      <c r="BA98" s="62">
        <f t="shared" si="106"/>
        <v>17</v>
      </c>
      <c r="BC98" s="62">
        <f t="shared" si="107"/>
        <v>11</v>
      </c>
      <c r="BD98" s="62">
        <f t="shared" si="108"/>
        <v>11</v>
      </c>
      <c r="BE98" s="62">
        <f t="shared" si="109"/>
        <v>6</v>
      </c>
      <c r="BF98" s="62">
        <f t="shared" si="110"/>
        <v>11</v>
      </c>
      <c r="BH98" s="62" t="str">
        <f t="shared" si="111"/>
        <v>Ch</v>
      </c>
      <c r="BI98" s="62" t="str">
        <f t="shared" si="112"/>
        <v>Ch</v>
      </c>
      <c r="BJ98" s="62" t="str">
        <f t="shared" si="113"/>
        <v>Ch</v>
      </c>
      <c r="BK98" s="62" t="str">
        <f t="shared" si="114"/>
        <v>Ch</v>
      </c>
      <c r="BM98" s="62" t="str">
        <f t="shared" si="115"/>
        <v/>
      </c>
      <c r="BN98" s="62" t="str">
        <f t="shared" si="116"/>
        <v/>
      </c>
      <c r="BO98" s="62" t="str">
        <f t="shared" si="117"/>
        <v/>
      </c>
      <c r="BP98" s="62" t="str">
        <f t="shared" si="118"/>
        <v/>
      </c>
    </row>
    <row r="99" spans="1:68" ht="15.75" thickBot="1" x14ac:dyDescent="0.3">
      <c r="A99" s="45"/>
      <c r="B99" s="40" t="str">
        <f t="shared" si="120"/>
        <v/>
      </c>
      <c r="F99" t="s">
        <v>257</v>
      </c>
      <c r="Q99" s="12"/>
      <c r="R99" s="63">
        <f t="shared" si="87"/>
        <v>0</v>
      </c>
      <c r="S99" s="63">
        <f t="shared" si="88"/>
        <v>0</v>
      </c>
      <c r="T99" s="63">
        <f t="shared" si="89"/>
        <v>0</v>
      </c>
      <c r="U99" s="63">
        <f t="shared" si="90"/>
        <v>0</v>
      </c>
      <c r="W99" s="11"/>
      <c r="X99" s="11"/>
      <c r="Y99" s="11"/>
      <c r="AL99" s="14" t="s">
        <v>57</v>
      </c>
      <c r="AM99" s="14" t="s">
        <v>57</v>
      </c>
      <c r="AN99" s="14" t="s">
        <v>57</v>
      </c>
      <c r="AO99" s="14" t="s">
        <v>57</v>
      </c>
      <c r="AQ99" s="60">
        <v>16</v>
      </c>
      <c r="AS99" s="62" t="str">
        <f>IF(AL99="","",IF(OR(AL99="Fr",AL99="La",AL99="Sn"),IF(AL99&lt;&gt;IFERROR(VLOOKUP(Wahlbogen!$B$6,F!$A$2:$C$22,3,0),"Sp"),"",AL99),AL99))</f>
        <v>Ph</v>
      </c>
      <c r="AT99" s="62" t="str">
        <f>IF(AM99="","",IF(OR(AM99="Fr",AM99="La",AM99="Sn"),IF(AM99&lt;&gt;IFERROR(VLOOKUP(Wahlbogen!$B$6,F!$A$2:$C$22,3,0),"Sp"),"",AM99),AM99))</f>
        <v>Ph</v>
      </c>
      <c r="AU99" s="62" t="str">
        <f>IF(AN99="","",IF(OR(AN99="Fr",AN99="La",AN99="Sn"),IF(AN99&lt;&gt;IFERROR(VLOOKUP(Wahlbogen!$B$6,F!$A$2:$C$22,3,0),"Sp"),"",AN99),AN99))</f>
        <v>Ph</v>
      </c>
      <c r="AV99" s="62" t="str">
        <f>IF(AO99="","",IF(OR(AO99="Fr",AO99="La",AO99="Sn"),IF(AO99&lt;&gt;IFERROR(VLOOKUP(Wahlbogen!$B$6,F!$A$2:$C$22,3,0),"Sp"),"",AO99),AO99))</f>
        <v>Ph</v>
      </c>
      <c r="AX99" s="62">
        <f t="shared" si="103"/>
        <v>18</v>
      </c>
      <c r="AY99" s="62">
        <f t="shared" si="104"/>
        <v>18</v>
      </c>
      <c r="AZ99" s="62">
        <f t="shared" si="105"/>
        <v>18</v>
      </c>
      <c r="BA99" s="62">
        <f t="shared" si="106"/>
        <v>18</v>
      </c>
      <c r="BC99" s="62">
        <f t="shared" si="107"/>
        <v>12</v>
      </c>
      <c r="BD99" s="62">
        <f t="shared" si="108"/>
        <v>12</v>
      </c>
      <c r="BE99" s="62">
        <f t="shared" si="109"/>
        <v>7</v>
      </c>
      <c r="BF99" s="62">
        <f t="shared" si="110"/>
        <v>12</v>
      </c>
      <c r="BH99" s="62" t="str">
        <f t="shared" si="111"/>
        <v>Ph</v>
      </c>
      <c r="BI99" s="62" t="str">
        <f t="shared" si="112"/>
        <v>Ph</v>
      </c>
      <c r="BJ99" s="62" t="str">
        <f t="shared" si="113"/>
        <v>Ph</v>
      </c>
      <c r="BK99" s="62" t="str">
        <f t="shared" si="114"/>
        <v>Ph</v>
      </c>
      <c r="BM99" s="62" t="str">
        <f t="shared" si="115"/>
        <v/>
      </c>
      <c r="BN99" s="62" t="str">
        <f t="shared" si="116"/>
        <v/>
      </c>
      <c r="BO99" s="62" t="str">
        <f t="shared" si="117"/>
        <v/>
      </c>
      <c r="BP99" s="62" t="str">
        <f t="shared" si="118"/>
        <v/>
      </c>
    </row>
    <row r="100" spans="1:68" x14ac:dyDescent="0.25">
      <c r="F100" t="s">
        <v>258</v>
      </c>
      <c r="Q100" s="12"/>
      <c r="R100" s="63">
        <f t="shared" si="87"/>
        <v>0</v>
      </c>
      <c r="S100" s="63">
        <f t="shared" si="88"/>
        <v>0</v>
      </c>
      <c r="T100" s="63">
        <f t="shared" si="89"/>
        <v>0</v>
      </c>
      <c r="U100" s="63">
        <f t="shared" si="90"/>
        <v>0</v>
      </c>
      <c r="W100" s="11"/>
      <c r="X100" s="11"/>
      <c r="Y100" s="11"/>
      <c r="AL100" s="14" t="s">
        <v>19</v>
      </c>
      <c r="AM100" s="14" t="s">
        <v>19</v>
      </c>
      <c r="AN100" s="14" t="s">
        <v>19</v>
      </c>
      <c r="AO100" s="14" t="s">
        <v>19</v>
      </c>
      <c r="AQ100" s="60">
        <v>17</v>
      </c>
      <c r="AS100" s="62" t="str">
        <f>IF(AL100="","",IF(OR(AL100="Fr",AL100="La",AL100="Sn"),IF(AL100&lt;&gt;IFERROR(VLOOKUP(Wahlbogen!$B$6,F!$A$2:$C$22,3,0),"Sp"),"",AL100),AL100))</f>
        <v/>
      </c>
      <c r="AT100" s="62" t="str">
        <f>IF(AM100="","",IF(OR(AM100="Fr",AM100="La",AM100="Sn"),IF(AM100&lt;&gt;IFERROR(VLOOKUP(Wahlbogen!$B$6,F!$A$2:$C$22,3,0),"Sp"),"",AM100),AM100))</f>
        <v/>
      </c>
      <c r="AU100" s="62" t="str">
        <f>IF(AN100="","",IF(OR(AN100="Fr",AN100="La",AN100="Sn"),IF(AN100&lt;&gt;IFERROR(VLOOKUP(Wahlbogen!$B$6,F!$A$2:$C$22,3,0),"Sp"),"",AN100),AN100))</f>
        <v/>
      </c>
      <c r="AV100" s="62" t="str">
        <f>IF(AO100="","",IF(OR(AO100="Fr",AO100="La",AO100="Sn"),IF(AO100&lt;&gt;IFERROR(VLOOKUP(Wahlbogen!$B$6,F!$A$2:$C$22,3,0),"Sp"),"",AO100),AO100))</f>
        <v/>
      </c>
      <c r="AX100" s="62" t="str">
        <f t="shared" si="103"/>
        <v/>
      </c>
      <c r="AY100" s="62" t="str">
        <f t="shared" si="104"/>
        <v/>
      </c>
      <c r="AZ100" s="62" t="str">
        <f t="shared" si="105"/>
        <v/>
      </c>
      <c r="BA100" s="62" t="str">
        <f t="shared" si="106"/>
        <v/>
      </c>
      <c r="BC100" s="62" t="str">
        <f t="shared" si="107"/>
        <v/>
      </c>
      <c r="BD100" s="62" t="str">
        <f t="shared" si="108"/>
        <v/>
      </c>
      <c r="BE100" s="62" t="str">
        <f t="shared" si="109"/>
        <v/>
      </c>
      <c r="BF100" s="62" t="str">
        <f t="shared" si="110"/>
        <v/>
      </c>
      <c r="BH100" s="62" t="str">
        <f t="shared" si="111"/>
        <v/>
      </c>
      <c r="BI100" s="62" t="str">
        <f t="shared" si="112"/>
        <v/>
      </c>
      <c r="BJ100" s="62" t="str">
        <f t="shared" si="113"/>
        <v/>
      </c>
      <c r="BK100" s="62" t="str">
        <f t="shared" si="114"/>
        <v/>
      </c>
      <c r="BM100" s="62" t="str">
        <f t="shared" si="115"/>
        <v/>
      </c>
      <c r="BN100" s="62" t="str">
        <f t="shared" si="116"/>
        <v/>
      </c>
      <c r="BO100" s="62" t="str">
        <f t="shared" si="117"/>
        <v/>
      </c>
      <c r="BP100" s="62" t="str">
        <f t="shared" si="118"/>
        <v/>
      </c>
    </row>
    <row r="101" spans="1:68" x14ac:dyDescent="0.25">
      <c r="F101" t="s">
        <v>259</v>
      </c>
      <c r="Q101" s="12"/>
      <c r="R101" s="63">
        <f t="shared" si="87"/>
        <v>0</v>
      </c>
      <c r="S101" s="63">
        <f t="shared" si="88"/>
        <v>0</v>
      </c>
      <c r="T101" s="63">
        <f t="shared" si="89"/>
        <v>0</v>
      </c>
      <c r="U101" s="63">
        <f t="shared" si="90"/>
        <v>0</v>
      </c>
      <c r="W101" s="11"/>
      <c r="X101" s="11"/>
      <c r="Y101" s="11"/>
      <c r="AL101" s="14" t="s">
        <v>56</v>
      </c>
      <c r="AM101" s="14" t="s">
        <v>56</v>
      </c>
      <c r="AN101" s="14" t="s">
        <v>56</v>
      </c>
      <c r="AO101" s="14" t="s">
        <v>56</v>
      </c>
      <c r="AQ101" s="60">
        <v>18</v>
      </c>
      <c r="AS101" s="62" t="str">
        <f>IF(AL101="","",IF(OR(AL101="Fr",AL101="La",AL101="Sn"),IF(AL101&lt;&gt;IFERROR(VLOOKUP(Wahlbogen!$B$6,F!$A$2:$C$22,3,0),"Sp"),"",AL101),AL101))</f>
        <v>Mu</v>
      </c>
      <c r="AT101" s="62" t="str">
        <f>IF(AM101="","",IF(OR(AM101="Fr",AM101="La",AM101="Sn"),IF(AM101&lt;&gt;IFERROR(VLOOKUP(Wahlbogen!$B$6,F!$A$2:$C$22,3,0),"Sp"),"",AM101),AM101))</f>
        <v>Mu</v>
      </c>
      <c r="AU101" s="62" t="str">
        <f>IF(AN101="","",IF(OR(AN101="Fr",AN101="La",AN101="Sn"),IF(AN101&lt;&gt;IFERROR(VLOOKUP(Wahlbogen!$B$6,F!$A$2:$C$22,3,0),"Sp"),"",AN101),AN101))</f>
        <v>Mu</v>
      </c>
      <c r="AV101" s="62" t="str">
        <f>IF(AO101="","",IF(OR(AO101="Fr",AO101="La",AO101="Sn"),IF(AO101&lt;&gt;IFERROR(VLOOKUP(Wahlbogen!$B$6,F!$A$2:$C$22,3,0),"Sp"),"",AO101),AO101))</f>
        <v>Mu</v>
      </c>
      <c r="AX101" s="62">
        <f t="shared" si="103"/>
        <v>8</v>
      </c>
      <c r="AY101" s="62">
        <f t="shared" si="104"/>
        <v>8</v>
      </c>
      <c r="AZ101" s="62">
        <f t="shared" si="105"/>
        <v>8</v>
      </c>
      <c r="BA101" s="62">
        <f t="shared" si="106"/>
        <v>8</v>
      </c>
      <c r="BC101" s="62">
        <f t="shared" si="107"/>
        <v>3</v>
      </c>
      <c r="BD101" s="62">
        <f t="shared" si="108"/>
        <v>3</v>
      </c>
      <c r="BE101" s="62">
        <f t="shared" si="109"/>
        <v>3</v>
      </c>
      <c r="BF101" s="62">
        <f t="shared" si="110"/>
        <v>3</v>
      </c>
      <c r="BH101" s="62" t="str">
        <f t="shared" si="111"/>
        <v>Mu</v>
      </c>
      <c r="BI101" s="62" t="str">
        <f t="shared" si="112"/>
        <v>Mu</v>
      </c>
      <c r="BJ101" s="62" t="str">
        <f t="shared" si="113"/>
        <v>Mu</v>
      </c>
      <c r="BK101" s="62" t="str">
        <f t="shared" si="114"/>
        <v>Mu</v>
      </c>
      <c r="BM101" s="62" t="str">
        <f t="shared" si="115"/>
        <v/>
      </c>
      <c r="BN101" s="62" t="str">
        <f t="shared" si="116"/>
        <v/>
      </c>
      <c r="BO101" s="62" t="str">
        <f t="shared" si="117"/>
        <v/>
      </c>
      <c r="BP101" s="62" t="str">
        <f t="shared" si="118"/>
        <v/>
      </c>
    </row>
    <row r="102" spans="1:68" ht="15.75" thickBot="1" x14ac:dyDescent="0.3">
      <c r="F102" t="s">
        <v>260</v>
      </c>
      <c r="Q102" s="12"/>
      <c r="R102" s="63">
        <f t="shared" si="87"/>
        <v>0</v>
      </c>
      <c r="S102" s="63">
        <f t="shared" si="88"/>
        <v>0</v>
      </c>
      <c r="T102" s="63">
        <f t="shared" si="89"/>
        <v>0</v>
      </c>
      <c r="U102" s="63">
        <f t="shared" si="90"/>
        <v>0</v>
      </c>
      <c r="W102" s="11"/>
      <c r="X102" s="11"/>
      <c r="Y102" s="11"/>
      <c r="AL102" s="14" t="s">
        <v>19</v>
      </c>
      <c r="AM102" s="14" t="s">
        <v>19</v>
      </c>
      <c r="AN102" s="14" t="s">
        <v>19</v>
      </c>
      <c r="AO102" s="14" t="s">
        <v>19</v>
      </c>
      <c r="AQ102" s="60">
        <v>19</v>
      </c>
      <c r="AS102" s="62" t="str">
        <f>IF(AL102="","",IF(OR(AL102="Fr",AL102="La",AL102="Sn"),IF(AL102&lt;&gt;IFERROR(VLOOKUP(Wahlbogen!$B$6,F!$A$2:$C$22,3,0),"Sp"),"",AL102),AL102))</f>
        <v/>
      </c>
      <c r="AT102" s="62" t="str">
        <f>IF(AM102="","",IF(OR(AM102="Fr",AM102="La",AM102="Sn"),IF(AM102&lt;&gt;IFERROR(VLOOKUP(Wahlbogen!$B$6,F!$A$2:$C$22,3,0),"Sp"),"",AM102),AM102))</f>
        <v/>
      </c>
      <c r="AU102" s="62" t="str">
        <f>IF(AN102="","",IF(OR(AN102="Fr",AN102="La",AN102="Sn"),IF(AN102&lt;&gt;IFERROR(VLOOKUP(Wahlbogen!$B$6,F!$A$2:$C$22,3,0),"Sp"),"",AN102),AN102))</f>
        <v/>
      </c>
      <c r="AV102" s="62" t="str">
        <f>IF(AO102="","",IF(OR(AO102="Fr",AO102="La",AO102="Sn"),IF(AO102&lt;&gt;IFERROR(VLOOKUP(Wahlbogen!$B$6,F!$A$2:$C$22,3,0),"Sp"),"",AO102),AO102))</f>
        <v/>
      </c>
      <c r="AX102" s="62" t="str">
        <f t="shared" si="103"/>
        <v/>
      </c>
      <c r="AY102" s="62" t="str">
        <f t="shared" si="104"/>
        <v/>
      </c>
      <c r="AZ102" s="62" t="str">
        <f t="shared" si="105"/>
        <v/>
      </c>
      <c r="BA102" s="62" t="str">
        <f t="shared" si="106"/>
        <v/>
      </c>
      <c r="BC102" s="62" t="str">
        <f t="shared" si="107"/>
        <v/>
      </c>
      <c r="BD102" s="62" t="str">
        <f t="shared" si="108"/>
        <v/>
      </c>
      <c r="BE102" s="62" t="str">
        <f t="shared" si="109"/>
        <v/>
      </c>
      <c r="BF102" s="62" t="str">
        <f t="shared" si="110"/>
        <v/>
      </c>
      <c r="BH102" s="62" t="str">
        <f t="shared" si="111"/>
        <v/>
      </c>
      <c r="BI102" s="62" t="str">
        <f t="shared" si="112"/>
        <v/>
      </c>
      <c r="BJ102" s="62" t="str">
        <f t="shared" si="113"/>
        <v/>
      </c>
      <c r="BK102" s="62" t="str">
        <f t="shared" si="114"/>
        <v/>
      </c>
      <c r="BM102" s="62" t="str">
        <f t="shared" si="115"/>
        <v/>
      </c>
      <c r="BN102" s="62" t="str">
        <f t="shared" si="116"/>
        <v/>
      </c>
      <c r="BO102" s="62" t="str">
        <f t="shared" si="117"/>
        <v/>
      </c>
      <c r="BP102" s="62" t="str">
        <f t="shared" si="118"/>
        <v/>
      </c>
    </row>
    <row r="103" spans="1:68" x14ac:dyDescent="0.25">
      <c r="A103" s="3" t="s">
        <v>266</v>
      </c>
      <c r="B103" s="37" t="str">
        <f>IF(A103="","",LEFT(A103,FIND(":",A103)-1))</f>
        <v>sp41</v>
      </c>
      <c r="F103" t="s">
        <v>261</v>
      </c>
      <c r="Q103" s="12"/>
      <c r="R103" s="63">
        <f t="shared" si="87"/>
        <v>0</v>
      </c>
      <c r="S103" s="63">
        <f t="shared" si="88"/>
        <v>0</v>
      </c>
      <c r="T103" s="63">
        <f t="shared" si="89"/>
        <v>0</v>
      </c>
      <c r="U103" s="63">
        <f t="shared" si="90"/>
        <v>0</v>
      </c>
      <c r="W103" s="11"/>
      <c r="X103" s="11"/>
      <c r="Y103" s="11"/>
      <c r="AL103" s="14" t="s">
        <v>19</v>
      </c>
      <c r="AM103" s="14" t="s">
        <v>19</v>
      </c>
      <c r="AN103" s="14" t="s">
        <v>19</v>
      </c>
      <c r="AO103" s="14" t="s">
        <v>19</v>
      </c>
      <c r="AQ103" s="60">
        <v>20</v>
      </c>
      <c r="AS103" s="62" t="str">
        <f>IF(AL103="","",IF(OR(AL103="Fr",AL103="La",AL103="Sn"),IF(AL103&lt;&gt;IFERROR(VLOOKUP(Wahlbogen!$B$6,F!$A$2:$C$22,3,0),"Sp"),"",AL103),AL103))</f>
        <v/>
      </c>
      <c r="AT103" s="62" t="str">
        <f>IF(AM103="","",IF(OR(AM103="Fr",AM103="La",AM103="Sn"),IF(AM103&lt;&gt;IFERROR(VLOOKUP(Wahlbogen!$B$6,F!$A$2:$C$22,3,0),"Sp"),"",AM103),AM103))</f>
        <v/>
      </c>
      <c r="AU103" s="62" t="str">
        <f>IF(AN103="","",IF(OR(AN103="Fr",AN103="La",AN103="Sn"),IF(AN103&lt;&gt;IFERROR(VLOOKUP(Wahlbogen!$B$6,F!$A$2:$C$22,3,0),"Sp"),"",AN103),AN103))</f>
        <v/>
      </c>
      <c r="AV103" s="62" t="str">
        <f>IF(AO103="","",IF(OR(AO103="Fr",AO103="La",AO103="Sn"),IF(AO103&lt;&gt;IFERROR(VLOOKUP(Wahlbogen!$B$6,F!$A$2:$C$22,3,0),"Sp"),"",AO103),AO103))</f>
        <v/>
      </c>
      <c r="AX103" s="62" t="str">
        <f t="shared" si="103"/>
        <v/>
      </c>
      <c r="AY103" s="62" t="str">
        <f t="shared" si="104"/>
        <v/>
      </c>
      <c r="AZ103" s="62" t="str">
        <f t="shared" si="105"/>
        <v/>
      </c>
      <c r="BA103" s="62" t="str">
        <f t="shared" si="106"/>
        <v/>
      </c>
      <c r="BC103" s="62" t="str">
        <f t="shared" si="107"/>
        <v/>
      </c>
      <c r="BD103" s="62" t="str">
        <f t="shared" si="108"/>
        <v/>
      </c>
      <c r="BE103" s="62" t="str">
        <f t="shared" si="109"/>
        <v/>
      </c>
      <c r="BF103" s="62" t="str">
        <f t="shared" si="110"/>
        <v/>
      </c>
      <c r="BH103" s="62" t="str">
        <f t="shared" si="111"/>
        <v/>
      </c>
      <c r="BI103" s="62" t="str">
        <f t="shared" si="112"/>
        <v/>
      </c>
      <c r="BJ103" s="62" t="str">
        <f t="shared" si="113"/>
        <v/>
      </c>
      <c r="BK103" s="62" t="str">
        <f t="shared" si="114"/>
        <v/>
      </c>
      <c r="BM103" s="62" t="str">
        <f t="shared" si="115"/>
        <v/>
      </c>
      <c r="BN103" s="62" t="str">
        <f t="shared" si="116"/>
        <v/>
      </c>
      <c r="BO103" s="62" t="str">
        <f t="shared" si="117"/>
        <v/>
      </c>
      <c r="BP103" s="62" t="str">
        <f t="shared" si="118"/>
        <v/>
      </c>
    </row>
    <row r="104" spans="1:68" x14ac:dyDescent="0.25">
      <c r="A104" s="5" t="s">
        <v>267</v>
      </c>
      <c r="B104" s="38" t="str">
        <f t="shared" ref="B104:B110" si="121">IF(A104="","",LEFT(A104,FIND(":",A104)-1))</f>
        <v>sp42</v>
      </c>
      <c r="F104" t="s">
        <v>262</v>
      </c>
      <c r="Q104" s="12"/>
      <c r="R104" s="63">
        <f t="shared" si="87"/>
        <v>0</v>
      </c>
      <c r="S104" s="63">
        <f t="shared" si="88"/>
        <v>0</v>
      </c>
      <c r="T104" s="63">
        <f t="shared" si="89"/>
        <v>0</v>
      </c>
      <c r="U104" s="63">
        <f t="shared" si="90"/>
        <v>0</v>
      </c>
      <c r="W104" s="11"/>
      <c r="X104" s="11"/>
      <c r="Y104" s="11"/>
    </row>
    <row r="105" spans="1:68" x14ac:dyDescent="0.25">
      <c r="A105" s="5" t="s">
        <v>268</v>
      </c>
      <c r="B105" s="38" t="str">
        <f t="shared" si="121"/>
        <v>sp43</v>
      </c>
      <c r="F105" t="s">
        <v>263</v>
      </c>
      <c r="Q105" s="12"/>
      <c r="R105" s="63">
        <f t="shared" si="87"/>
        <v>0</v>
      </c>
      <c r="S105" s="63">
        <f t="shared" si="88"/>
        <v>0</v>
      </c>
      <c r="T105" s="63">
        <f t="shared" si="89"/>
        <v>0</v>
      </c>
      <c r="U105" s="63">
        <f t="shared" si="90"/>
        <v>0</v>
      </c>
      <c r="W105" s="11"/>
      <c r="X105" s="11"/>
      <c r="Y105" s="11"/>
    </row>
    <row r="106" spans="1:68" x14ac:dyDescent="0.25">
      <c r="A106" s="5" t="s">
        <v>269</v>
      </c>
      <c r="B106" s="38" t="str">
        <f t="shared" si="121"/>
        <v>sp44</v>
      </c>
      <c r="F106" t="s">
        <v>264</v>
      </c>
      <c r="Q106" s="12"/>
      <c r="R106" s="63">
        <f t="shared" si="87"/>
        <v>0</v>
      </c>
      <c r="S106" s="63">
        <f t="shared" si="88"/>
        <v>0</v>
      </c>
      <c r="T106" s="63">
        <f t="shared" si="89"/>
        <v>0</v>
      </c>
      <c r="U106" s="63">
        <f t="shared" si="90"/>
        <v>0</v>
      </c>
      <c r="W106" s="11"/>
      <c r="X106" s="11"/>
      <c r="Y106" s="11"/>
    </row>
    <row r="107" spans="1:68" x14ac:dyDescent="0.25">
      <c r="A107" s="5" t="s">
        <v>270</v>
      </c>
      <c r="B107" s="38" t="str">
        <f t="shared" si="121"/>
        <v>sp45</v>
      </c>
      <c r="F107" t="s">
        <v>265</v>
      </c>
      <c r="Q107" s="12"/>
      <c r="R107" s="63">
        <f t="shared" si="87"/>
        <v>0</v>
      </c>
      <c r="S107" s="63">
        <f t="shared" si="88"/>
        <v>0</v>
      </c>
      <c r="T107" s="63">
        <f t="shared" si="89"/>
        <v>0</v>
      </c>
      <c r="U107" s="63">
        <f t="shared" si="90"/>
        <v>0</v>
      </c>
      <c r="W107" s="11"/>
      <c r="X107" s="11"/>
      <c r="Y107" s="11"/>
    </row>
    <row r="108" spans="1:68" x14ac:dyDescent="0.25">
      <c r="A108" s="44"/>
      <c r="B108" s="38" t="str">
        <f t="shared" si="121"/>
        <v/>
      </c>
      <c r="F108" t="s">
        <v>266</v>
      </c>
      <c r="Q108" s="12"/>
      <c r="R108" s="63">
        <f t="shared" si="87"/>
        <v>0</v>
      </c>
      <c r="S108" s="63">
        <f t="shared" si="88"/>
        <v>0</v>
      </c>
      <c r="T108" s="63">
        <f t="shared" si="89"/>
        <v>0</v>
      </c>
      <c r="U108" s="63">
        <f t="shared" si="90"/>
        <v>0</v>
      </c>
      <c r="W108" s="11"/>
      <c r="X108" s="11"/>
      <c r="Y108" s="11"/>
    </row>
    <row r="109" spans="1:68" x14ac:dyDescent="0.25">
      <c r="A109" s="44"/>
      <c r="B109" s="38" t="str">
        <f t="shared" si="121"/>
        <v/>
      </c>
      <c r="F109" t="s">
        <v>267</v>
      </c>
      <c r="Q109" s="12"/>
      <c r="R109" s="63">
        <f t="shared" si="87"/>
        <v>0</v>
      </c>
      <c r="S109" s="63">
        <f t="shared" si="88"/>
        <v>0</v>
      </c>
      <c r="T109" s="63">
        <f t="shared" si="89"/>
        <v>0</v>
      </c>
      <c r="U109" s="63">
        <f t="shared" si="90"/>
        <v>0</v>
      </c>
      <c r="W109" s="11"/>
      <c r="X109" s="11"/>
      <c r="Y109" s="11"/>
    </row>
    <row r="110" spans="1:68" ht="15.75" thickBot="1" x14ac:dyDescent="0.3">
      <c r="A110" s="45"/>
      <c r="B110" s="40" t="str">
        <f t="shared" si="121"/>
        <v/>
      </c>
      <c r="F110" t="s">
        <v>268</v>
      </c>
      <c r="Q110" s="12"/>
      <c r="R110" s="63">
        <f t="shared" si="87"/>
        <v>0</v>
      </c>
      <c r="S110" s="63">
        <f t="shared" si="88"/>
        <v>0</v>
      </c>
      <c r="T110" s="63">
        <f t="shared" si="89"/>
        <v>0</v>
      </c>
      <c r="U110" s="63">
        <f t="shared" si="90"/>
        <v>0</v>
      </c>
      <c r="W110" s="11"/>
      <c r="X110" s="11"/>
      <c r="Y110" s="11"/>
    </row>
    <row r="111" spans="1:68" x14ac:dyDescent="0.25">
      <c r="F111" t="s">
        <v>269</v>
      </c>
      <c r="Q111" s="12"/>
      <c r="R111" s="63">
        <f t="shared" si="87"/>
        <v>0</v>
      </c>
      <c r="S111" s="63">
        <f t="shared" si="88"/>
        <v>0</v>
      </c>
      <c r="T111" s="63">
        <f t="shared" si="89"/>
        <v>0</v>
      </c>
      <c r="U111" s="63">
        <f t="shared" si="90"/>
        <v>0</v>
      </c>
      <c r="W111" s="11"/>
      <c r="X111" s="11"/>
      <c r="Y111" s="11"/>
    </row>
    <row r="112" spans="1:68" x14ac:dyDescent="0.25">
      <c r="F112" t="s">
        <v>270</v>
      </c>
      <c r="Q112" s="12"/>
      <c r="R112" s="63">
        <f t="shared" si="87"/>
        <v>0</v>
      </c>
      <c r="S112" s="63">
        <f t="shared" si="88"/>
        <v>0</v>
      </c>
      <c r="T112" s="63">
        <f t="shared" si="89"/>
        <v>0</v>
      </c>
      <c r="U112" s="63">
        <f t="shared" si="90"/>
        <v>0</v>
      </c>
      <c r="W112" s="11"/>
      <c r="X112" s="11"/>
      <c r="Y112" s="11"/>
    </row>
    <row r="113" spans="1:68" x14ac:dyDescent="0.25">
      <c r="Q113" s="12"/>
      <c r="R113" s="63">
        <f t="shared" si="87"/>
        <v>0</v>
      </c>
      <c r="S113" s="63">
        <f t="shared" si="88"/>
        <v>0</v>
      </c>
      <c r="T113" s="63">
        <f t="shared" si="89"/>
        <v>0</v>
      </c>
      <c r="U113" s="63">
        <f t="shared" si="90"/>
        <v>0</v>
      </c>
      <c r="W113" s="11"/>
      <c r="X113" s="11"/>
      <c r="Y113" s="11"/>
    </row>
    <row r="114" spans="1:68" x14ac:dyDescent="0.25">
      <c r="Q114" s="12"/>
      <c r="R114" s="63">
        <f t="shared" si="87"/>
        <v>0</v>
      </c>
      <c r="S114" s="63">
        <f t="shared" si="88"/>
        <v>0</v>
      </c>
      <c r="T114" s="63">
        <f t="shared" si="89"/>
        <v>0</v>
      </c>
      <c r="U114" s="63">
        <f t="shared" si="90"/>
        <v>0</v>
      </c>
      <c r="W114" s="11"/>
      <c r="X114" s="11"/>
      <c r="Y114" s="11"/>
    </row>
    <row r="115" spans="1:68" ht="15.75" thickBot="1" x14ac:dyDescent="0.3">
      <c r="A115" s="29" t="s">
        <v>142</v>
      </c>
      <c r="Q115" s="12"/>
      <c r="R115" s="63">
        <f t="shared" si="87"/>
        <v>0</v>
      </c>
      <c r="S115" s="63">
        <f t="shared" si="88"/>
        <v>0</v>
      </c>
      <c r="T115" s="63">
        <f t="shared" si="89"/>
        <v>0</v>
      </c>
      <c r="U115" s="63">
        <f t="shared" si="90"/>
        <v>0</v>
      </c>
      <c r="W115" s="11"/>
      <c r="X115" s="11"/>
      <c r="Y115" s="11"/>
    </row>
    <row r="116" spans="1:68" x14ac:dyDescent="0.25">
      <c r="A116" s="3" t="s">
        <v>143</v>
      </c>
      <c r="B116" s="37" t="str">
        <f>IF(A116="","",LEFT(A116,FIND(":",A116)-1))</f>
        <v>sf1</v>
      </c>
      <c r="Q116" s="12"/>
      <c r="R116" s="63">
        <f t="shared" si="87"/>
        <v>0</v>
      </c>
      <c r="S116" s="63">
        <f t="shared" si="88"/>
        <v>0</v>
      </c>
      <c r="T116" s="63">
        <f t="shared" si="89"/>
        <v>0</v>
      </c>
      <c r="U116" s="63">
        <f t="shared" si="90"/>
        <v>0</v>
      </c>
      <c r="W116" s="11"/>
      <c r="X116" s="11"/>
      <c r="Y116" s="11"/>
    </row>
    <row r="117" spans="1:68" x14ac:dyDescent="0.25">
      <c r="A117" s="5" t="s">
        <v>144</v>
      </c>
      <c r="B117" s="38" t="str">
        <f t="shared" ref="B117:B124" si="122">IF(A117="","",LEFT(A117,FIND(":",A117)-1))</f>
        <v>sf2</v>
      </c>
      <c r="Q117" s="12"/>
      <c r="W117" s="11"/>
      <c r="X117" s="11"/>
      <c r="Y117" s="11"/>
      <c r="AL117" t="s">
        <v>19</v>
      </c>
      <c r="AM117" t="s">
        <v>19</v>
      </c>
      <c r="AN117" t="s">
        <v>19</v>
      </c>
      <c r="AO117" t="s">
        <v>19</v>
      </c>
    </row>
    <row r="118" spans="1:68" x14ac:dyDescent="0.25">
      <c r="A118" s="5" t="s">
        <v>145</v>
      </c>
      <c r="B118" s="38" t="str">
        <f t="shared" si="122"/>
        <v>sf3</v>
      </c>
      <c r="Q118" s="12"/>
      <c r="W118" s="11"/>
      <c r="X118" s="11"/>
      <c r="Y118" s="11"/>
      <c r="AL118" t="s">
        <v>19</v>
      </c>
      <c r="AM118" t="s">
        <v>19</v>
      </c>
      <c r="AN118" t="s">
        <v>19</v>
      </c>
      <c r="AO118" t="s">
        <v>19</v>
      </c>
    </row>
    <row r="119" spans="1:68" x14ac:dyDescent="0.25">
      <c r="A119" s="5" t="s">
        <v>146</v>
      </c>
      <c r="B119" s="38" t="str">
        <f t="shared" si="122"/>
        <v>sf4</v>
      </c>
      <c r="Q119" s="12"/>
      <c r="AL119" t="s">
        <v>19</v>
      </c>
      <c r="AM119" t="s">
        <v>19</v>
      </c>
      <c r="AN119" t="s">
        <v>19</v>
      </c>
      <c r="AO119" t="s">
        <v>19</v>
      </c>
    </row>
    <row r="120" spans="1:68" ht="18.75" x14ac:dyDescent="0.25">
      <c r="A120" s="5" t="s">
        <v>147</v>
      </c>
      <c r="B120" s="38" t="str">
        <f t="shared" si="122"/>
        <v>sf5</v>
      </c>
      <c r="Q120" s="12"/>
      <c r="R120" s="10" t="s">
        <v>103</v>
      </c>
      <c r="AL120" s="10" t="s">
        <v>103</v>
      </c>
      <c r="AM120" s="8"/>
      <c r="AN120" s="8"/>
      <c r="AO120" s="8"/>
    </row>
    <row r="121" spans="1:68" ht="18.75" x14ac:dyDescent="0.3">
      <c r="A121" s="44"/>
      <c r="B121" s="38" t="str">
        <f t="shared" si="122"/>
        <v/>
      </c>
      <c r="D121" s="69" t="s">
        <v>272</v>
      </c>
      <c r="Q121" s="12"/>
      <c r="R121" s="15" t="s">
        <v>99</v>
      </c>
      <c r="S121" s="15" t="s">
        <v>100</v>
      </c>
      <c r="T121" s="15" t="s">
        <v>101</v>
      </c>
      <c r="U121" s="15" t="s">
        <v>102</v>
      </c>
      <c r="AL121" s="15" t="s">
        <v>99</v>
      </c>
      <c r="AM121" s="15" t="s">
        <v>100</v>
      </c>
      <c r="AN121" s="15" t="s">
        <v>101</v>
      </c>
      <c r="AO121" s="15" t="s">
        <v>102</v>
      </c>
      <c r="AQ121" t="s">
        <v>237</v>
      </c>
      <c r="AS121" t="s">
        <v>232</v>
      </c>
      <c r="AX121" t="s">
        <v>233</v>
      </c>
      <c r="BC121" t="s">
        <v>234</v>
      </c>
      <c r="BH121" t="s">
        <v>235</v>
      </c>
      <c r="BM121" t="s">
        <v>236</v>
      </c>
    </row>
    <row r="122" spans="1:68" x14ac:dyDescent="0.25">
      <c r="A122" s="44"/>
      <c r="B122" s="38" t="str">
        <f t="shared" si="122"/>
        <v/>
      </c>
      <c r="D122" s="67" t="s">
        <v>242</v>
      </c>
      <c r="Q122" s="12"/>
      <c r="R122" s="63" t="str">
        <f t="shared" ref="R122:R153" si="123">IFERROR(VLOOKUP(BM122,$E$2:$G$22,3,0),0)</f>
        <v>Deutsch</v>
      </c>
      <c r="S122" s="63" t="str">
        <f t="shared" ref="S122:S153" si="124">IFERROR(VLOOKUP(BN122,$E$2:$G$22,3,0),0)</f>
        <v>Deutsch</v>
      </c>
      <c r="T122" s="63" t="str">
        <f t="shared" ref="T122:T153" si="125">IFERROR(VLOOKUP(BO122,$E$2:$G$22,3,0),0)</f>
        <v>Deutsch</v>
      </c>
      <c r="U122" s="63" t="str">
        <f t="shared" ref="U122:U153" si="126">IFERROR(VLOOKUP(BP122,$E$2:$G$22,3,0),0)</f>
        <v>Deutsch</v>
      </c>
      <c r="V122" s="11" t="str">
        <f t="shared" ref="V122:V129" si="127">IF(AND(R122="",R123="",R124=""),ROW(),"")</f>
        <v/>
      </c>
      <c r="W122" s="11" t="str">
        <f t="shared" ref="W122:W129" si="128">IF(AND(S122="",S123="",S124=""),ROW(),"")</f>
        <v/>
      </c>
      <c r="X122" s="11" t="str">
        <f t="shared" ref="X122:X129" si="129">IF(AND(T122="",T123="",T124=""),ROW(),"")</f>
        <v/>
      </c>
      <c r="Y122" s="11" t="str">
        <f t="shared" ref="Y122:Y129" si="130">IF(AND(U122="",U123="",U124=""),ROW(),"")</f>
        <v/>
      </c>
      <c r="Z122" s="17"/>
      <c r="AA122" s="17">
        <v>1</v>
      </c>
      <c r="AB122" s="17">
        <v>2</v>
      </c>
      <c r="AC122" s="17">
        <v>3</v>
      </c>
      <c r="AD122" s="17">
        <v>4</v>
      </c>
      <c r="AE122" s="17"/>
      <c r="AF122" s="17">
        <v>1</v>
      </c>
      <c r="AG122" s="17">
        <v>2</v>
      </c>
      <c r="AH122" s="17">
        <v>3</v>
      </c>
      <c r="AI122" s="17">
        <v>4</v>
      </c>
      <c r="AL122" s="14" t="s">
        <v>45</v>
      </c>
      <c r="AM122" s="14" t="s">
        <v>45</v>
      </c>
      <c r="AN122" s="14" t="s">
        <v>45</v>
      </c>
      <c r="AO122" s="14" t="s">
        <v>45</v>
      </c>
      <c r="AQ122" s="60">
        <v>1</v>
      </c>
      <c r="AS122" s="62" t="str">
        <f>IF(AL122="","",IF(OR(AL122="Fr",AL122="La",AL122="Sn"),IF(AL122&lt;&gt;IFERROR(VLOOKUP(Wahlbogen!$B$6,F!$A$2:$C$22,3,0),"Sp"),"",AL122),AL122))</f>
        <v>De</v>
      </c>
      <c r="AT122" s="62" t="str">
        <f>IF(AM122="","",IF(OR(AM122="Fr",AM122="La",AM122="Sn"),IF(AM122&lt;&gt;IFERROR(VLOOKUP(Wahlbogen!$B$6,F!$A$2:$C$22,3,0),"Sp"),"",AM122),AM122))</f>
        <v>De</v>
      </c>
      <c r="AU122" s="62" t="str">
        <f>IF(AN122="","",IF(OR(AN122="Fr",AN122="La",AN122="Sn"),IF(AN122&lt;&gt;IFERROR(VLOOKUP(Wahlbogen!$B$6,F!$A$2:$C$22,3,0),"Sp"),"",AN122),AN122))</f>
        <v>De</v>
      </c>
      <c r="AV122" s="62" t="str">
        <f>IF(AO122="","",IF(OR(AO122="Fr",AO122="La",AO122="Sn"),IF(AO122&lt;&gt;IFERROR(VLOOKUP(Wahlbogen!$B$6,F!$A$2:$C$22,3,0),"Sp"),"",AO122),AO122))</f>
        <v>De</v>
      </c>
      <c r="AX122" s="62">
        <f>IFERROR(VLOOKUP(AS122,$C$2:$H$22,6,0),"")</f>
        <v>1</v>
      </c>
      <c r="AY122" s="62">
        <f t="shared" ref="AY122" si="131">IFERROR(VLOOKUP(AT122,$C$2:$H$22,6,0),"")</f>
        <v>1</v>
      </c>
      <c r="AZ122" s="62">
        <f t="shared" ref="AZ122" si="132">IFERROR(VLOOKUP(AU122,$C$2:$H$22,6,0),"")</f>
        <v>1</v>
      </c>
      <c r="BA122" s="62">
        <f t="shared" ref="BA122" si="133">IFERROR(VLOOKUP(AV122,$C$2:$H$22,6,0),"")</f>
        <v>1</v>
      </c>
      <c r="BC122" s="62">
        <f>IFERROR(RANK(AX122,AX$122:AX$141,1),"")</f>
        <v>1</v>
      </c>
      <c r="BD122" s="62">
        <f t="shared" ref="BD122:BF122" si="134">IFERROR(RANK(AY122,AY$122:AY$141,1),"")</f>
        <v>1</v>
      </c>
      <c r="BE122" s="62">
        <f t="shared" si="134"/>
        <v>1</v>
      </c>
      <c r="BF122" s="62">
        <f t="shared" si="134"/>
        <v>1</v>
      </c>
      <c r="BH122" s="62" t="str">
        <f>AS122</f>
        <v>De</v>
      </c>
      <c r="BI122" s="62" t="str">
        <f t="shared" ref="BI122" si="135">AT122</f>
        <v>De</v>
      </c>
      <c r="BJ122" s="62" t="str">
        <f t="shared" ref="BJ122" si="136">AU122</f>
        <v>De</v>
      </c>
      <c r="BK122" s="62" t="str">
        <f t="shared" ref="BK122" si="137">AV122</f>
        <v>De</v>
      </c>
      <c r="BM122" s="62" t="str">
        <f>IFERROR(VLOOKUP($AQ122,BC$122:BH$141,6,0),"")</f>
        <v>De</v>
      </c>
      <c r="BN122" s="62" t="str">
        <f t="shared" ref="BN122:BP122" si="138">IFERROR(VLOOKUP($AQ122,BD$122:BI$141,6,0),"")</f>
        <v>De</v>
      </c>
      <c r="BO122" s="62" t="str">
        <f t="shared" si="138"/>
        <v>De</v>
      </c>
      <c r="BP122" s="62" t="str">
        <f t="shared" si="138"/>
        <v>De</v>
      </c>
    </row>
    <row r="123" spans="1:68" x14ac:dyDescent="0.25">
      <c r="A123" s="44"/>
      <c r="B123" s="38" t="str">
        <f t="shared" si="122"/>
        <v/>
      </c>
      <c r="D123" s="67" t="s">
        <v>243</v>
      </c>
      <c r="Q123" s="12"/>
      <c r="R123" s="63" t="str">
        <f t="shared" si="123"/>
        <v>Englisch</v>
      </c>
      <c r="S123" s="63" t="str">
        <f t="shared" si="124"/>
        <v>Englisch</v>
      </c>
      <c r="T123" s="63" t="str">
        <f t="shared" si="125"/>
        <v>Englisch</v>
      </c>
      <c r="U123" s="63" t="str">
        <f t="shared" si="126"/>
        <v>Englisch</v>
      </c>
      <c r="V123" s="11" t="str">
        <f t="shared" si="127"/>
        <v/>
      </c>
      <c r="W123" s="11" t="str">
        <f t="shared" si="128"/>
        <v/>
      </c>
      <c r="X123" s="11" t="str">
        <f t="shared" si="129"/>
        <v/>
      </c>
      <c r="Y123" s="11" t="str">
        <f t="shared" si="130"/>
        <v/>
      </c>
      <c r="Z123" s="17"/>
      <c r="AA123" s="17" t="s">
        <v>119</v>
      </c>
      <c r="AB123" s="17" t="s">
        <v>120</v>
      </c>
      <c r="AC123" s="17" t="s">
        <v>121</v>
      </c>
      <c r="AD123" s="17" t="s">
        <v>122</v>
      </c>
      <c r="AE123" s="17"/>
      <c r="AF123" s="17" t="s">
        <v>119</v>
      </c>
      <c r="AG123" s="17" t="s">
        <v>120</v>
      </c>
      <c r="AH123" s="17" t="s">
        <v>121</v>
      </c>
      <c r="AI123" s="17" t="s">
        <v>122</v>
      </c>
      <c r="AL123" s="14" t="s">
        <v>46</v>
      </c>
      <c r="AM123" s="14" t="s">
        <v>46</v>
      </c>
      <c r="AN123" s="14" t="s">
        <v>46</v>
      </c>
      <c r="AO123" s="14" t="s">
        <v>46</v>
      </c>
      <c r="AQ123" s="60">
        <v>2</v>
      </c>
      <c r="AS123" s="62" t="str">
        <f>IF(AL123="","",IF(OR(AL123="Fr",AL123="La",AL123="Sn"),IF(AL123&lt;&gt;IFERROR(VLOOKUP(Wahlbogen!$B$6,F!$A$2:$C$22,3,0),"Sp"),"",AL123),AL123))</f>
        <v>En</v>
      </c>
      <c r="AT123" s="62" t="str">
        <f>IF(AM123="","",IF(OR(AM123="Fr",AM123="La",AM123="Sn"),IF(AM123&lt;&gt;IFERROR(VLOOKUP(Wahlbogen!$B$6,F!$A$2:$C$22,3,0),"Sp"),"",AM123),AM123))</f>
        <v>En</v>
      </c>
      <c r="AU123" s="62" t="str">
        <f>IF(AN123="","",IF(OR(AN123="Fr",AN123="La",AN123="Sn"),IF(AN123&lt;&gt;IFERROR(VLOOKUP(Wahlbogen!$B$6,F!$A$2:$C$22,3,0),"Sp"),"",AN123),AN123))</f>
        <v>En</v>
      </c>
      <c r="AV123" s="62" t="str">
        <f>IF(AO123="","",IF(OR(AO123="Fr",AO123="La",AO123="Sn"),IF(AO123&lt;&gt;IFERROR(VLOOKUP(Wahlbogen!$B$6,F!$A$2:$C$22,3,0),"Sp"),"",AO123),AO123))</f>
        <v>En</v>
      </c>
      <c r="AX123" s="62">
        <f t="shared" ref="AX123:AX141" si="139">IFERROR(VLOOKUP(AS123,$C$2:$H$22,6,0),"")</f>
        <v>2</v>
      </c>
      <c r="AY123" s="62">
        <f t="shared" ref="AY123:AY141" si="140">IFERROR(VLOOKUP(AT123,$C$2:$H$22,6,0),"")</f>
        <v>2</v>
      </c>
      <c r="AZ123" s="62">
        <f t="shared" ref="AZ123:AZ141" si="141">IFERROR(VLOOKUP(AU123,$C$2:$H$22,6,0),"")</f>
        <v>2</v>
      </c>
      <c r="BA123" s="62">
        <f t="shared" ref="BA123:BA141" si="142">IFERROR(VLOOKUP(AV123,$C$2:$H$22,6,0),"")</f>
        <v>2</v>
      </c>
      <c r="BC123" s="62">
        <f t="shared" ref="BC123:BC141" si="143">IFERROR(RANK(AX123,AX$122:AX$141,1),"")</f>
        <v>2</v>
      </c>
      <c r="BD123" s="62">
        <f t="shared" ref="BD123:BD141" si="144">IFERROR(RANK(AY123,AY$122:AY$141,1),"")</f>
        <v>2</v>
      </c>
      <c r="BE123" s="62">
        <f t="shared" ref="BE123:BE141" si="145">IFERROR(RANK(AZ123,AZ$122:AZ$141,1),"")</f>
        <v>2</v>
      </c>
      <c r="BF123" s="62">
        <f t="shared" ref="BF123:BF141" si="146">IFERROR(RANK(BA123,BA$122:BA$141,1),"")</f>
        <v>2</v>
      </c>
      <c r="BH123" s="62" t="str">
        <f t="shared" ref="BH123:BH141" si="147">AS123</f>
        <v>En</v>
      </c>
      <c r="BI123" s="62" t="str">
        <f t="shared" ref="BI123:BI141" si="148">AT123</f>
        <v>En</v>
      </c>
      <c r="BJ123" s="62" t="str">
        <f t="shared" ref="BJ123:BJ141" si="149">AU123</f>
        <v>En</v>
      </c>
      <c r="BK123" s="62" t="str">
        <f t="shared" ref="BK123:BK141" si="150">AV123</f>
        <v>En</v>
      </c>
      <c r="BM123" s="62" t="str">
        <f t="shared" ref="BM123:BM141" si="151">IFERROR(VLOOKUP($AQ123,BC$122:BH$141,6,0),"")</f>
        <v>En</v>
      </c>
      <c r="BN123" s="62" t="str">
        <f t="shared" ref="BN123:BN141" si="152">IFERROR(VLOOKUP($AQ123,BD$122:BI$141,6,0),"")</f>
        <v>En</v>
      </c>
      <c r="BO123" s="62" t="str">
        <f t="shared" ref="BO123:BO141" si="153">IFERROR(VLOOKUP($AQ123,BE$122:BJ$141,6,0),"")</f>
        <v>En</v>
      </c>
      <c r="BP123" s="62" t="str">
        <f t="shared" ref="BP123:BP141" si="154">IFERROR(VLOOKUP($AQ123,BF$122:BK$141,6,0),"")</f>
        <v>En</v>
      </c>
    </row>
    <row r="124" spans="1:68" ht="15.75" thickBot="1" x14ac:dyDescent="0.3">
      <c r="A124" s="45"/>
      <c r="B124" s="40" t="str">
        <f t="shared" si="122"/>
        <v/>
      </c>
      <c r="D124" s="67" t="s">
        <v>250</v>
      </c>
      <c r="Q124" s="12"/>
      <c r="R124" s="63" t="str">
        <f t="shared" si="123"/>
        <v>Musik</v>
      </c>
      <c r="S124" s="63" t="str">
        <f t="shared" si="124"/>
        <v>Musik</v>
      </c>
      <c r="T124" s="63" t="str">
        <f t="shared" si="125"/>
        <v>Musik</v>
      </c>
      <c r="U124" s="63" t="str">
        <f t="shared" si="126"/>
        <v>Musik</v>
      </c>
      <c r="V124" s="11" t="str">
        <f t="shared" si="127"/>
        <v/>
      </c>
      <c r="W124" s="11" t="str">
        <f t="shared" si="128"/>
        <v/>
      </c>
      <c r="X124" s="11" t="str">
        <f t="shared" si="129"/>
        <v/>
      </c>
      <c r="Y124" s="11" t="str">
        <f t="shared" si="130"/>
        <v/>
      </c>
      <c r="Z124" s="17" t="s">
        <v>117</v>
      </c>
      <c r="AA124" s="17">
        <f>ROW()-2</f>
        <v>122</v>
      </c>
      <c r="AB124" s="17">
        <f>AA124</f>
        <v>122</v>
      </c>
      <c r="AC124" s="17">
        <f>AB124</f>
        <v>122</v>
      </c>
      <c r="AD124" s="17">
        <f>AC124</f>
        <v>122</v>
      </c>
      <c r="AE124" s="17" t="s">
        <v>117</v>
      </c>
      <c r="AF124" s="17">
        <f>MATCH("",R121:R153,-1)+ROW()-4</f>
        <v>133</v>
      </c>
      <c r="AG124" s="17">
        <f>MATCH("",S121:S153,-1)+ROW()-4</f>
        <v>133</v>
      </c>
      <c r="AH124" s="17">
        <f>MATCH("",T121:T153,-1)+ROW()-4</f>
        <v>128</v>
      </c>
      <c r="AI124" s="17">
        <f>MATCH("",U121:U153,-1)+ROW()-4</f>
        <v>133</v>
      </c>
      <c r="AL124" s="14" t="s">
        <v>49</v>
      </c>
      <c r="AM124" s="14" t="s">
        <v>49</v>
      </c>
      <c r="AN124" s="14" t="s">
        <v>49</v>
      </c>
      <c r="AO124" s="14" t="s">
        <v>49</v>
      </c>
      <c r="AQ124" s="60">
        <v>3</v>
      </c>
      <c r="AS124" s="62" t="str">
        <f>IF(AL124="","",IF(OR(AL124="Fr",AL124="La",AL124="Sn"),IF(AL124&lt;&gt;IFERROR(VLOOKUP(Wahlbogen!$B$6,F!$A$2:$C$22,3,0),"Sp"),"",AL124),AL124))</f>
        <v/>
      </c>
      <c r="AT124" s="62" t="str">
        <f>IF(AM124="","",IF(OR(AM124="Fr",AM124="La",AM124="Sn"),IF(AM124&lt;&gt;IFERROR(VLOOKUP(Wahlbogen!$B$6,F!$A$2:$C$22,3,0),"Sp"),"",AM124),AM124))</f>
        <v/>
      </c>
      <c r="AU124" s="62" t="str">
        <f>IF(AN124="","",IF(OR(AN124="Fr",AN124="La",AN124="Sn"),IF(AN124&lt;&gt;IFERROR(VLOOKUP(Wahlbogen!$B$6,F!$A$2:$C$22,3,0),"Sp"),"",AN124),AN124))</f>
        <v/>
      </c>
      <c r="AV124" s="62" t="str">
        <f>IF(AO124="","",IF(OR(AO124="Fr",AO124="La",AO124="Sn"),IF(AO124&lt;&gt;IFERROR(VLOOKUP(Wahlbogen!$B$6,F!$A$2:$C$22,3,0),"Sp"),"",AO124),AO124))</f>
        <v/>
      </c>
      <c r="AX124" s="62" t="str">
        <f t="shared" si="139"/>
        <v/>
      </c>
      <c r="AY124" s="62" t="str">
        <f t="shared" si="140"/>
        <v/>
      </c>
      <c r="AZ124" s="62" t="str">
        <f t="shared" si="141"/>
        <v/>
      </c>
      <c r="BA124" s="62" t="str">
        <f t="shared" si="142"/>
        <v/>
      </c>
      <c r="BC124" s="62" t="str">
        <f t="shared" si="143"/>
        <v/>
      </c>
      <c r="BD124" s="62" t="str">
        <f t="shared" si="144"/>
        <v/>
      </c>
      <c r="BE124" s="62" t="str">
        <f t="shared" si="145"/>
        <v/>
      </c>
      <c r="BF124" s="62" t="str">
        <f t="shared" si="146"/>
        <v/>
      </c>
      <c r="BH124" s="62" t="str">
        <f t="shared" si="147"/>
        <v/>
      </c>
      <c r="BI124" s="62" t="str">
        <f t="shared" si="148"/>
        <v/>
      </c>
      <c r="BJ124" s="62" t="str">
        <f t="shared" si="149"/>
        <v/>
      </c>
      <c r="BK124" s="62" t="str">
        <f t="shared" si="150"/>
        <v/>
      </c>
      <c r="BM124" s="62" t="str">
        <f t="shared" si="151"/>
        <v>Mu</v>
      </c>
      <c r="BN124" s="62" t="str">
        <f t="shared" si="152"/>
        <v>Mu</v>
      </c>
      <c r="BO124" s="62" t="str">
        <f t="shared" si="153"/>
        <v>Mu</v>
      </c>
      <c r="BP124" s="62" t="str">
        <f t="shared" si="154"/>
        <v>Mu</v>
      </c>
    </row>
    <row r="125" spans="1:68" x14ac:dyDescent="0.25">
      <c r="D125" s="67" t="s">
        <v>247</v>
      </c>
      <c r="Q125" s="12"/>
      <c r="R125" s="63" t="str">
        <f t="shared" si="123"/>
        <v>Geschichte</v>
      </c>
      <c r="S125" s="63" t="str">
        <f t="shared" si="124"/>
        <v>Geschichte</v>
      </c>
      <c r="T125" s="63" t="str">
        <f t="shared" si="125"/>
        <v>Mathematik</v>
      </c>
      <c r="U125" s="63" t="str">
        <f t="shared" si="126"/>
        <v>Geschichte</v>
      </c>
      <c r="V125" s="11" t="str">
        <f t="shared" si="127"/>
        <v/>
      </c>
      <c r="W125" s="11" t="str">
        <f t="shared" si="128"/>
        <v/>
      </c>
      <c r="X125" s="11" t="str">
        <f t="shared" si="129"/>
        <v/>
      </c>
      <c r="Y125" s="11" t="str">
        <f t="shared" si="130"/>
        <v/>
      </c>
      <c r="AL125" s="14" t="s">
        <v>54</v>
      </c>
      <c r="AM125" s="14" t="s">
        <v>54</v>
      </c>
      <c r="AN125" s="14" t="s">
        <v>54</v>
      </c>
      <c r="AO125" s="14" t="s">
        <v>54</v>
      </c>
      <c r="AQ125" s="60">
        <v>4</v>
      </c>
      <c r="AS125" s="62" t="str">
        <f>IF(AL125="","",IF(OR(AL125="Fr",AL125="La",AL125="Sn"),IF(AL125&lt;&gt;IFERROR(VLOOKUP(Wahlbogen!$B$6,F!$A$2:$C$22,3,0),"Sp"),"",AL125),AL125))</f>
        <v/>
      </c>
      <c r="AT125" s="62" t="str">
        <f>IF(AM125="","",IF(OR(AM125="Fr",AM125="La",AM125="Sn"),IF(AM125&lt;&gt;IFERROR(VLOOKUP(Wahlbogen!$B$6,F!$A$2:$C$22,3,0),"Sp"),"",AM125),AM125))</f>
        <v/>
      </c>
      <c r="AU125" s="62" t="str">
        <f>IF(AN125="","",IF(OR(AN125="Fr",AN125="La",AN125="Sn"),IF(AN125&lt;&gt;IFERROR(VLOOKUP(Wahlbogen!$B$6,F!$A$2:$C$22,3,0),"Sp"),"",AN125),AN125))</f>
        <v/>
      </c>
      <c r="AV125" s="62" t="str">
        <f>IF(AO125="","",IF(OR(AO125="Fr",AO125="La",AO125="Sn"),IF(AO125&lt;&gt;IFERROR(VLOOKUP(Wahlbogen!$B$6,F!$A$2:$C$22,3,0),"Sp"),"",AO125),AO125))</f>
        <v/>
      </c>
      <c r="AX125" s="62" t="str">
        <f t="shared" si="139"/>
        <v/>
      </c>
      <c r="AY125" s="62" t="str">
        <f t="shared" si="140"/>
        <v/>
      </c>
      <c r="AZ125" s="62" t="str">
        <f t="shared" si="141"/>
        <v/>
      </c>
      <c r="BA125" s="62" t="str">
        <f t="shared" si="142"/>
        <v/>
      </c>
      <c r="BC125" s="62" t="str">
        <f t="shared" si="143"/>
        <v/>
      </c>
      <c r="BD125" s="62" t="str">
        <f t="shared" si="144"/>
        <v/>
      </c>
      <c r="BE125" s="62" t="str">
        <f t="shared" si="145"/>
        <v/>
      </c>
      <c r="BF125" s="62" t="str">
        <f t="shared" si="146"/>
        <v/>
      </c>
      <c r="BH125" s="62" t="str">
        <f t="shared" si="147"/>
        <v/>
      </c>
      <c r="BI125" s="62" t="str">
        <f t="shared" si="148"/>
        <v/>
      </c>
      <c r="BJ125" s="62" t="str">
        <f t="shared" si="149"/>
        <v/>
      </c>
      <c r="BK125" s="62" t="str">
        <f t="shared" si="150"/>
        <v/>
      </c>
      <c r="BM125" s="62" t="str">
        <f t="shared" si="151"/>
        <v>Ge</v>
      </c>
      <c r="BN125" s="62" t="str">
        <f t="shared" si="152"/>
        <v>Ge</v>
      </c>
      <c r="BO125" s="62" t="str">
        <f t="shared" si="153"/>
        <v>Ma</v>
      </c>
      <c r="BP125" s="62" t="str">
        <f t="shared" si="154"/>
        <v>Ge</v>
      </c>
    </row>
    <row r="126" spans="1:68" x14ac:dyDescent="0.25">
      <c r="D126" s="67" t="s">
        <v>271</v>
      </c>
      <c r="Q126" s="12"/>
      <c r="R126" s="63" t="str">
        <f t="shared" si="123"/>
        <v>Politik-Wirtschaft</v>
      </c>
      <c r="S126" s="63" t="str">
        <f t="shared" si="124"/>
        <v>Politik-Wirtschaft</v>
      </c>
      <c r="T126" s="63" t="str">
        <f t="shared" si="125"/>
        <v>Biologie</v>
      </c>
      <c r="U126" s="63" t="str">
        <f t="shared" si="126"/>
        <v>Politik-Wirtschaft</v>
      </c>
      <c r="V126" s="11" t="str">
        <f t="shared" si="127"/>
        <v/>
      </c>
      <c r="W126" s="11" t="str">
        <f t="shared" si="128"/>
        <v/>
      </c>
      <c r="X126" s="11" t="str">
        <f t="shared" si="129"/>
        <v/>
      </c>
      <c r="Y126" s="11" t="str">
        <f t="shared" si="130"/>
        <v/>
      </c>
      <c r="AL126" s="14" t="s">
        <v>59</v>
      </c>
      <c r="AM126" s="14" t="s">
        <v>59</v>
      </c>
      <c r="AN126" s="14" t="s">
        <v>59</v>
      </c>
      <c r="AO126" s="14" t="s">
        <v>59</v>
      </c>
      <c r="AQ126" s="60">
        <v>5</v>
      </c>
      <c r="AS126" s="62" t="str">
        <f>IF(AL126="","",IF(OR(AL126="Fr",AL126="La",AL126="Sn"),IF(AL126&lt;&gt;IFERROR(VLOOKUP(Wahlbogen!$B$6,F!$A$2:$C$22,3,0),"Sp"),"",AL126),AL126))</f>
        <v/>
      </c>
      <c r="AT126" s="62" t="str">
        <f>IF(AM126="","",IF(OR(AM126="Fr",AM126="La",AM126="Sn"),IF(AM126&lt;&gt;IFERROR(VLOOKUP(Wahlbogen!$B$6,F!$A$2:$C$22,3,0),"Sp"),"",AM126),AM126))</f>
        <v/>
      </c>
      <c r="AU126" s="62" t="str">
        <f>IF(AN126="","",IF(OR(AN126="Fr",AN126="La",AN126="Sn"),IF(AN126&lt;&gt;IFERROR(VLOOKUP(Wahlbogen!$B$6,F!$A$2:$C$22,3,0),"Sp"),"",AN126),AN126))</f>
        <v/>
      </c>
      <c r="AV126" s="62" t="str">
        <f>IF(AO126="","",IF(OR(AO126="Fr",AO126="La",AO126="Sn"),IF(AO126&lt;&gt;IFERROR(VLOOKUP(Wahlbogen!$B$6,F!$A$2:$C$22,3,0),"Sp"),"",AO126),AO126))</f>
        <v/>
      </c>
      <c r="AX126" s="62" t="str">
        <f t="shared" si="139"/>
        <v/>
      </c>
      <c r="AY126" s="62" t="str">
        <f t="shared" si="140"/>
        <v/>
      </c>
      <c r="AZ126" s="62" t="str">
        <f t="shared" si="141"/>
        <v/>
      </c>
      <c r="BA126" s="62" t="str">
        <f t="shared" si="142"/>
        <v/>
      </c>
      <c r="BC126" s="62" t="str">
        <f t="shared" si="143"/>
        <v/>
      </c>
      <c r="BD126" s="62" t="str">
        <f t="shared" si="144"/>
        <v/>
      </c>
      <c r="BE126" s="62" t="str">
        <f t="shared" si="145"/>
        <v/>
      </c>
      <c r="BF126" s="62" t="str">
        <f t="shared" si="146"/>
        <v/>
      </c>
      <c r="BH126" s="62" t="str">
        <f t="shared" si="147"/>
        <v/>
      </c>
      <c r="BI126" s="62" t="str">
        <f t="shared" si="148"/>
        <v/>
      </c>
      <c r="BJ126" s="62" t="str">
        <f t="shared" si="149"/>
        <v/>
      </c>
      <c r="BK126" s="62" t="str">
        <f t="shared" si="150"/>
        <v/>
      </c>
      <c r="BM126" s="62" t="str">
        <f t="shared" si="151"/>
        <v>Po</v>
      </c>
      <c r="BN126" s="62" t="str">
        <f t="shared" si="152"/>
        <v>Po</v>
      </c>
      <c r="BO126" s="62" t="str">
        <f t="shared" si="153"/>
        <v>Bi</v>
      </c>
      <c r="BP126" s="62" t="str">
        <f t="shared" si="154"/>
        <v>Po</v>
      </c>
    </row>
    <row r="127" spans="1:68" x14ac:dyDescent="0.25">
      <c r="D127" s="67" t="s">
        <v>249</v>
      </c>
      <c r="Q127" s="12"/>
      <c r="R127" s="63" t="str">
        <f t="shared" si="123"/>
        <v>Erdkunde</v>
      </c>
      <c r="S127" s="63" t="str">
        <f t="shared" si="124"/>
        <v>Erdkunde</v>
      </c>
      <c r="T127" s="63" t="str">
        <f t="shared" si="125"/>
        <v>Chemie</v>
      </c>
      <c r="U127" s="63" t="str">
        <f t="shared" si="126"/>
        <v>Erdkunde</v>
      </c>
      <c r="V127" s="11" t="str">
        <f t="shared" si="127"/>
        <v/>
      </c>
      <c r="W127" s="11" t="str">
        <f t="shared" si="128"/>
        <v/>
      </c>
      <c r="X127" s="11" t="str">
        <f t="shared" si="129"/>
        <v/>
      </c>
      <c r="Y127" s="11" t="str">
        <f t="shared" si="130"/>
        <v/>
      </c>
      <c r="AL127" s="14"/>
      <c r="AM127" s="14"/>
      <c r="AN127" s="14"/>
      <c r="AO127" s="14"/>
      <c r="AQ127" s="60">
        <v>6</v>
      </c>
      <c r="AS127" s="62" t="str">
        <f>IF(AL127="","",IF(OR(AL127="Fr",AL127="La",AL127="Sn"),IF(AL127&lt;&gt;IFERROR(VLOOKUP(Wahlbogen!$B$6,F!$A$2:$C$22,3,0),"Sp"),"",AL127),AL127))</f>
        <v/>
      </c>
      <c r="AT127" s="62" t="str">
        <f>IF(AM127="","",IF(OR(AM127="Fr",AM127="La",AM127="Sn"),IF(AM127&lt;&gt;IFERROR(VLOOKUP(Wahlbogen!$B$6,F!$A$2:$C$22,3,0),"Sp"),"",AM127),AM127))</f>
        <v/>
      </c>
      <c r="AU127" s="62" t="str">
        <f>IF(AN127="","",IF(OR(AN127="Fr",AN127="La",AN127="Sn"),IF(AN127&lt;&gt;IFERROR(VLOOKUP(Wahlbogen!$B$6,F!$A$2:$C$22,3,0),"Sp"),"",AN127),AN127))</f>
        <v/>
      </c>
      <c r="AV127" s="62" t="str">
        <f>IF(AO127="","",IF(OR(AO127="Fr",AO127="La",AO127="Sn"),IF(AO127&lt;&gt;IFERROR(VLOOKUP(Wahlbogen!$B$6,F!$A$2:$C$22,3,0),"Sp"),"",AO127),AO127))</f>
        <v/>
      </c>
      <c r="AX127" s="62" t="str">
        <f t="shared" si="139"/>
        <v/>
      </c>
      <c r="AY127" s="62" t="str">
        <f t="shared" si="140"/>
        <v/>
      </c>
      <c r="AZ127" s="62" t="str">
        <f t="shared" si="141"/>
        <v/>
      </c>
      <c r="BA127" s="62" t="str">
        <f t="shared" si="142"/>
        <v/>
      </c>
      <c r="BC127" s="62" t="str">
        <f t="shared" si="143"/>
        <v/>
      </c>
      <c r="BD127" s="62" t="str">
        <f t="shared" si="144"/>
        <v/>
      </c>
      <c r="BE127" s="62" t="str">
        <f t="shared" si="145"/>
        <v/>
      </c>
      <c r="BF127" s="62" t="str">
        <f t="shared" si="146"/>
        <v/>
      </c>
      <c r="BH127" s="62" t="str">
        <f t="shared" si="147"/>
        <v/>
      </c>
      <c r="BI127" s="62" t="str">
        <f t="shared" si="148"/>
        <v/>
      </c>
      <c r="BJ127" s="62" t="str">
        <f t="shared" si="149"/>
        <v/>
      </c>
      <c r="BK127" s="62" t="str">
        <f t="shared" si="150"/>
        <v/>
      </c>
      <c r="BM127" s="62" t="str">
        <f t="shared" si="151"/>
        <v>Ek</v>
      </c>
      <c r="BN127" s="62" t="str">
        <f t="shared" si="152"/>
        <v>Ek</v>
      </c>
      <c r="BO127" s="62" t="str">
        <f t="shared" si="153"/>
        <v>Ch</v>
      </c>
      <c r="BP127" s="62" t="str">
        <f t="shared" si="154"/>
        <v>Ek</v>
      </c>
    </row>
    <row r="128" spans="1:68" x14ac:dyDescent="0.25">
      <c r="Q128" s="12"/>
      <c r="R128" s="63" t="str">
        <f t="shared" si="123"/>
        <v>Ev. Religion</v>
      </c>
      <c r="S128" s="63" t="str">
        <f t="shared" si="124"/>
        <v>Ev. Religion</v>
      </c>
      <c r="T128" s="63" t="str">
        <f t="shared" si="125"/>
        <v>Physik</v>
      </c>
      <c r="U128" s="63" t="str">
        <f t="shared" si="126"/>
        <v>Ev. Religion</v>
      </c>
      <c r="V128" s="11" t="str">
        <f t="shared" si="127"/>
        <v/>
      </c>
      <c r="W128" s="11" t="str">
        <f t="shared" si="128"/>
        <v/>
      </c>
      <c r="X128" s="11" t="str">
        <f t="shared" si="129"/>
        <v/>
      </c>
      <c r="Y128" s="11" t="str">
        <f t="shared" si="130"/>
        <v/>
      </c>
      <c r="AB128" s="18" t="s">
        <v>123</v>
      </c>
      <c r="AL128" s="14" t="s">
        <v>50</v>
      </c>
      <c r="AM128" s="14" t="s">
        <v>50</v>
      </c>
      <c r="AN128" s="14"/>
      <c r="AO128" s="14" t="s">
        <v>50</v>
      </c>
      <c r="AQ128" s="60">
        <v>7</v>
      </c>
      <c r="AS128" s="62" t="str">
        <f>IF(AL128="","",IF(OR(AL128="Fr",AL128="La",AL128="Sn"),IF(AL128&lt;&gt;IFERROR(VLOOKUP(Wahlbogen!$B$6,F!$A$2:$C$22,3,0),"Sp"),"",AL128),AL128))</f>
        <v>Ge</v>
      </c>
      <c r="AT128" s="62" t="str">
        <f>IF(AM128="","",IF(OR(AM128="Fr",AM128="La",AM128="Sn"),IF(AM128&lt;&gt;IFERROR(VLOOKUP(Wahlbogen!$B$6,F!$A$2:$C$22,3,0),"Sp"),"",AM128),AM128))</f>
        <v>Ge</v>
      </c>
      <c r="AU128" s="62" t="str">
        <f>IF(AN128="","",IF(OR(AN128="Fr",AN128="La",AN128="Sn"),IF(AN128&lt;&gt;IFERROR(VLOOKUP(Wahlbogen!$B$6,F!$A$2:$C$22,3,0),"Sp"),"",AN128),AN128))</f>
        <v/>
      </c>
      <c r="AV128" s="62" t="str">
        <f>IF(AO128="","",IF(OR(AO128="Fr",AO128="La",AO128="Sn"),IF(AO128&lt;&gt;IFERROR(VLOOKUP(Wahlbogen!$B$6,F!$A$2:$C$22,3,0),"Sp"),"",AO128),AO128))</f>
        <v>Ge</v>
      </c>
      <c r="AX128" s="62">
        <f t="shared" si="139"/>
        <v>10</v>
      </c>
      <c r="AY128" s="62">
        <f t="shared" si="140"/>
        <v>10</v>
      </c>
      <c r="AZ128" s="62" t="str">
        <f t="shared" si="141"/>
        <v/>
      </c>
      <c r="BA128" s="62">
        <f t="shared" si="142"/>
        <v>10</v>
      </c>
      <c r="BC128" s="62">
        <f t="shared" si="143"/>
        <v>4</v>
      </c>
      <c r="BD128" s="62">
        <f t="shared" si="144"/>
        <v>4</v>
      </c>
      <c r="BE128" s="62" t="str">
        <f t="shared" si="145"/>
        <v/>
      </c>
      <c r="BF128" s="62">
        <f t="shared" si="146"/>
        <v>4</v>
      </c>
      <c r="BH128" s="62" t="str">
        <f t="shared" si="147"/>
        <v>Ge</v>
      </c>
      <c r="BI128" s="62" t="str">
        <f t="shared" si="148"/>
        <v>Ge</v>
      </c>
      <c r="BJ128" s="62" t="str">
        <f t="shared" si="149"/>
        <v/>
      </c>
      <c r="BK128" s="62" t="str">
        <f t="shared" si="150"/>
        <v>Ge</v>
      </c>
      <c r="BM128" s="62" t="str">
        <f t="shared" si="151"/>
        <v>Re</v>
      </c>
      <c r="BN128" s="62" t="str">
        <f t="shared" si="152"/>
        <v>Re</v>
      </c>
      <c r="BO128" s="62" t="str">
        <f t="shared" si="153"/>
        <v>Ph</v>
      </c>
      <c r="BP128" s="62" t="str">
        <f t="shared" si="154"/>
        <v>Re</v>
      </c>
    </row>
    <row r="129" spans="1:68" x14ac:dyDescent="0.25">
      <c r="Q129" s="12"/>
      <c r="R129" s="63" t="str">
        <f t="shared" si="123"/>
        <v>Werte und Normen</v>
      </c>
      <c r="S129" s="63" t="str">
        <f t="shared" si="124"/>
        <v>Werte und Normen</v>
      </c>
      <c r="T129" s="63">
        <f t="shared" si="125"/>
        <v>0</v>
      </c>
      <c r="U129" s="63" t="str">
        <f t="shared" si="126"/>
        <v>Werte und Normen</v>
      </c>
      <c r="V129" s="11" t="str">
        <f t="shared" si="127"/>
        <v/>
      </c>
      <c r="W129" s="11" t="str">
        <f t="shared" si="128"/>
        <v/>
      </c>
      <c r="X129" s="11" t="str">
        <f t="shared" si="129"/>
        <v/>
      </c>
      <c r="Y129" s="11" t="str">
        <f t="shared" si="130"/>
        <v/>
      </c>
      <c r="AB129" s="18" t="s">
        <v>124</v>
      </c>
      <c r="AL129" s="14" t="s">
        <v>58</v>
      </c>
      <c r="AM129" s="14" t="s">
        <v>58</v>
      </c>
      <c r="AN129" s="14"/>
      <c r="AO129" s="14" t="s">
        <v>58</v>
      </c>
      <c r="AQ129" s="60">
        <v>8</v>
      </c>
      <c r="AS129" s="62" t="str">
        <f>IF(AL129="","",IF(OR(AL129="Fr",AL129="La",AL129="Sn"),IF(AL129&lt;&gt;IFERROR(VLOOKUP(Wahlbogen!$B$6,F!$A$2:$C$22,3,0),"Sp"),"",AL129),AL129))</f>
        <v>Po</v>
      </c>
      <c r="AT129" s="62" t="str">
        <f>IF(AM129="","",IF(OR(AM129="Fr",AM129="La",AM129="Sn"),IF(AM129&lt;&gt;IFERROR(VLOOKUP(Wahlbogen!$B$6,F!$A$2:$C$22,3,0),"Sp"),"",AM129),AM129))</f>
        <v>Po</v>
      </c>
      <c r="AU129" s="62" t="str">
        <f>IF(AN129="","",IF(OR(AN129="Fr",AN129="La",AN129="Sn"),IF(AN129&lt;&gt;IFERROR(VLOOKUP(Wahlbogen!$B$6,F!$A$2:$C$22,3,0),"Sp"),"",AN129),AN129))</f>
        <v/>
      </c>
      <c r="AV129" s="62" t="str">
        <f>IF(AO129="","",IF(OR(AO129="Fr",AO129="La",AO129="Sn"),IF(AO129&lt;&gt;IFERROR(VLOOKUP(Wahlbogen!$B$6,F!$A$2:$C$22,3,0),"Sp"),"",AO129),AO129))</f>
        <v>Po</v>
      </c>
      <c r="AX129" s="62">
        <f t="shared" si="139"/>
        <v>11</v>
      </c>
      <c r="AY129" s="62">
        <f t="shared" si="140"/>
        <v>11</v>
      </c>
      <c r="AZ129" s="62" t="str">
        <f t="shared" si="141"/>
        <v/>
      </c>
      <c r="BA129" s="62">
        <f t="shared" si="142"/>
        <v>11</v>
      </c>
      <c r="BC129" s="62">
        <f t="shared" si="143"/>
        <v>5</v>
      </c>
      <c r="BD129" s="62">
        <f t="shared" si="144"/>
        <v>5</v>
      </c>
      <c r="BE129" s="62" t="str">
        <f t="shared" si="145"/>
        <v/>
      </c>
      <c r="BF129" s="62">
        <f t="shared" si="146"/>
        <v>5</v>
      </c>
      <c r="BH129" s="62" t="str">
        <f t="shared" si="147"/>
        <v>Po</v>
      </c>
      <c r="BI129" s="62" t="str">
        <f t="shared" si="148"/>
        <v>Po</v>
      </c>
      <c r="BJ129" s="62" t="str">
        <f t="shared" si="149"/>
        <v/>
      </c>
      <c r="BK129" s="62" t="str">
        <f t="shared" si="150"/>
        <v>Po</v>
      </c>
      <c r="BM129" s="62" t="str">
        <f t="shared" si="151"/>
        <v>Wn</v>
      </c>
      <c r="BN129" s="62" t="str">
        <f t="shared" si="152"/>
        <v>Wn</v>
      </c>
      <c r="BO129" s="62" t="str">
        <f t="shared" si="153"/>
        <v/>
      </c>
      <c r="BP129" s="62" t="str">
        <f t="shared" si="154"/>
        <v>Wn</v>
      </c>
    </row>
    <row r="130" spans="1:68" x14ac:dyDescent="0.25">
      <c r="A130" s="30"/>
      <c r="Q130" s="12"/>
      <c r="R130" s="63" t="str">
        <f t="shared" si="123"/>
        <v>Mathematik</v>
      </c>
      <c r="S130" s="63" t="str">
        <f t="shared" si="124"/>
        <v>Mathematik</v>
      </c>
      <c r="T130" s="63">
        <f t="shared" si="125"/>
        <v>0</v>
      </c>
      <c r="U130" s="63" t="str">
        <f t="shared" si="126"/>
        <v>Mathematik</v>
      </c>
      <c r="W130" s="11"/>
      <c r="X130" s="11"/>
      <c r="Y130" s="11"/>
      <c r="AL130" s="14" t="s">
        <v>47</v>
      </c>
      <c r="AM130" s="14" t="s">
        <v>47</v>
      </c>
      <c r="AN130" s="14"/>
      <c r="AO130" s="14" t="s">
        <v>47</v>
      </c>
      <c r="AQ130" s="60">
        <v>9</v>
      </c>
      <c r="AS130" s="62" t="str">
        <f>IF(AL130="","",IF(OR(AL130="Fr",AL130="La",AL130="Sn"),IF(AL130&lt;&gt;IFERROR(VLOOKUP(Wahlbogen!$B$6,F!$A$2:$C$22,3,0),"Sp"),"",AL130),AL130))</f>
        <v>Ek</v>
      </c>
      <c r="AT130" s="62" t="str">
        <f>IF(AM130="","",IF(OR(AM130="Fr",AM130="La",AM130="Sn"),IF(AM130&lt;&gt;IFERROR(VLOOKUP(Wahlbogen!$B$6,F!$A$2:$C$22,3,0),"Sp"),"",AM130),AM130))</f>
        <v>Ek</v>
      </c>
      <c r="AU130" s="62" t="str">
        <f>IF(AN130="","",IF(OR(AN130="Fr",AN130="La",AN130="Sn"),IF(AN130&lt;&gt;IFERROR(VLOOKUP(Wahlbogen!$B$6,F!$A$2:$C$22,3,0),"Sp"),"",AN130),AN130))</f>
        <v/>
      </c>
      <c r="AV130" s="62" t="str">
        <f>IF(AO130="","",IF(OR(AO130="Fr",AO130="La",AO130="Sn"),IF(AO130&lt;&gt;IFERROR(VLOOKUP(Wahlbogen!$B$6,F!$A$2:$C$22,3,0),"Sp"),"",AO130),AO130))</f>
        <v>Ek</v>
      </c>
      <c r="AX130" s="62">
        <f t="shared" si="139"/>
        <v>12</v>
      </c>
      <c r="AY130" s="62">
        <f t="shared" si="140"/>
        <v>12</v>
      </c>
      <c r="AZ130" s="62" t="str">
        <f t="shared" si="141"/>
        <v/>
      </c>
      <c r="BA130" s="62">
        <f t="shared" si="142"/>
        <v>12</v>
      </c>
      <c r="BC130" s="62">
        <f t="shared" si="143"/>
        <v>6</v>
      </c>
      <c r="BD130" s="62">
        <f t="shared" si="144"/>
        <v>6</v>
      </c>
      <c r="BE130" s="62" t="str">
        <f t="shared" si="145"/>
        <v/>
      </c>
      <c r="BF130" s="62">
        <f t="shared" si="146"/>
        <v>6</v>
      </c>
      <c r="BH130" s="62" t="str">
        <f t="shared" si="147"/>
        <v>Ek</v>
      </c>
      <c r="BI130" s="62" t="str">
        <f t="shared" si="148"/>
        <v>Ek</v>
      </c>
      <c r="BJ130" s="62" t="str">
        <f t="shared" si="149"/>
        <v/>
      </c>
      <c r="BK130" s="62" t="str">
        <f t="shared" si="150"/>
        <v>Ek</v>
      </c>
      <c r="BM130" s="62" t="str">
        <f t="shared" si="151"/>
        <v>Ma</v>
      </c>
      <c r="BN130" s="62" t="str">
        <f t="shared" si="152"/>
        <v>Ma</v>
      </c>
      <c r="BO130" s="62" t="str">
        <f t="shared" si="153"/>
        <v/>
      </c>
      <c r="BP130" s="62" t="str">
        <f t="shared" si="154"/>
        <v>Ma</v>
      </c>
    </row>
    <row r="131" spans="1:68" x14ac:dyDescent="0.25">
      <c r="A131" s="30"/>
      <c r="Q131" s="12"/>
      <c r="R131" s="63" t="str">
        <f t="shared" si="123"/>
        <v>Biologie</v>
      </c>
      <c r="S131" s="63" t="str">
        <f t="shared" si="124"/>
        <v>Biologie</v>
      </c>
      <c r="T131" s="63">
        <f t="shared" si="125"/>
        <v>0</v>
      </c>
      <c r="U131" s="63" t="str">
        <f t="shared" si="126"/>
        <v>Biologie</v>
      </c>
      <c r="W131" s="11"/>
      <c r="X131" s="11"/>
      <c r="Y131" s="11"/>
      <c r="AL131" s="14" t="s">
        <v>48</v>
      </c>
      <c r="AM131" s="14" t="s">
        <v>48</v>
      </c>
      <c r="AN131" s="14"/>
      <c r="AO131" s="14" t="s">
        <v>48</v>
      </c>
      <c r="AQ131" s="60">
        <v>10</v>
      </c>
      <c r="AS131" s="62" t="str">
        <f>IF(AL131="","",IF(OR(AL131="Fr",AL131="La",AL131="Sn"),IF(AL131&lt;&gt;IFERROR(VLOOKUP(Wahlbogen!$B$6,F!$A$2:$C$22,3,0),"Sp"),"",AL131),AL131))</f>
        <v>Re</v>
      </c>
      <c r="AT131" s="62" t="str">
        <f>IF(AM131="","",IF(OR(AM131="Fr",AM131="La",AM131="Sn"),IF(AM131&lt;&gt;IFERROR(VLOOKUP(Wahlbogen!$B$6,F!$A$2:$C$22,3,0),"Sp"),"",AM131),AM131))</f>
        <v>Re</v>
      </c>
      <c r="AU131" s="62" t="str">
        <f>IF(AN131="","",IF(OR(AN131="Fr",AN131="La",AN131="Sn"),IF(AN131&lt;&gt;IFERROR(VLOOKUP(Wahlbogen!$B$6,F!$A$2:$C$22,3,0),"Sp"),"",AN131),AN131))</f>
        <v/>
      </c>
      <c r="AV131" s="62" t="str">
        <f>IF(AO131="","",IF(OR(AO131="Fr",AO131="La",AO131="Sn"),IF(AO131&lt;&gt;IFERROR(VLOOKUP(Wahlbogen!$B$6,F!$A$2:$C$22,3,0),"Sp"),"",AO131),AO131))</f>
        <v>Re</v>
      </c>
      <c r="AX131" s="62">
        <f t="shared" si="139"/>
        <v>13</v>
      </c>
      <c r="AY131" s="62">
        <f t="shared" si="140"/>
        <v>13</v>
      </c>
      <c r="AZ131" s="62" t="str">
        <f t="shared" si="141"/>
        <v/>
      </c>
      <c r="BA131" s="62">
        <f t="shared" si="142"/>
        <v>13</v>
      </c>
      <c r="BC131" s="62">
        <f t="shared" si="143"/>
        <v>7</v>
      </c>
      <c r="BD131" s="62">
        <f t="shared" si="144"/>
        <v>7</v>
      </c>
      <c r="BE131" s="62" t="str">
        <f t="shared" si="145"/>
        <v/>
      </c>
      <c r="BF131" s="62">
        <f t="shared" si="146"/>
        <v>7</v>
      </c>
      <c r="BH131" s="62" t="str">
        <f t="shared" si="147"/>
        <v>Re</v>
      </c>
      <c r="BI131" s="62" t="str">
        <f t="shared" si="148"/>
        <v>Re</v>
      </c>
      <c r="BJ131" s="62" t="str">
        <f t="shared" si="149"/>
        <v/>
      </c>
      <c r="BK131" s="62" t="str">
        <f t="shared" si="150"/>
        <v>Re</v>
      </c>
      <c r="BM131" s="62" t="str">
        <f t="shared" si="151"/>
        <v>Bi</v>
      </c>
      <c r="BN131" s="62" t="str">
        <f t="shared" si="152"/>
        <v>Bi</v>
      </c>
      <c r="BO131" s="62" t="str">
        <f t="shared" si="153"/>
        <v/>
      </c>
      <c r="BP131" s="62" t="str">
        <f t="shared" si="154"/>
        <v>Bi</v>
      </c>
    </row>
    <row r="132" spans="1:68" x14ac:dyDescent="0.25">
      <c r="A132" s="30"/>
      <c r="Q132" s="12"/>
      <c r="R132" s="63" t="str">
        <f t="shared" si="123"/>
        <v>Chemie</v>
      </c>
      <c r="S132" s="63" t="str">
        <f t="shared" si="124"/>
        <v>Chemie</v>
      </c>
      <c r="T132" s="63">
        <f t="shared" si="125"/>
        <v>0</v>
      </c>
      <c r="U132" s="63" t="str">
        <f t="shared" si="126"/>
        <v>Chemie</v>
      </c>
      <c r="W132" s="11"/>
      <c r="X132" s="11"/>
      <c r="Y132" s="11"/>
      <c r="AL132" s="14" t="s">
        <v>60</v>
      </c>
      <c r="AM132" s="14" t="s">
        <v>60</v>
      </c>
      <c r="AN132" s="14" t="s">
        <v>19</v>
      </c>
      <c r="AO132" s="14" t="s">
        <v>60</v>
      </c>
      <c r="AQ132" s="60">
        <v>11</v>
      </c>
      <c r="AS132" s="62" t="str">
        <f>IF(AL132="","",IF(OR(AL132="Fr",AL132="La",AL132="Sn"),IF(AL132&lt;&gt;IFERROR(VLOOKUP(Wahlbogen!$B$6,F!$A$2:$C$22,3,0),"Sp"),"",AL132),AL132))</f>
        <v>Wn</v>
      </c>
      <c r="AT132" s="62" t="str">
        <f>IF(AM132="","",IF(OR(AM132="Fr",AM132="La",AM132="Sn"),IF(AM132&lt;&gt;IFERROR(VLOOKUP(Wahlbogen!$B$6,F!$A$2:$C$22,3,0),"Sp"),"",AM132),AM132))</f>
        <v>Wn</v>
      </c>
      <c r="AU132" s="62" t="str">
        <f>IF(AN132="","",IF(OR(AN132="Fr",AN132="La",AN132="Sn"),IF(AN132&lt;&gt;IFERROR(VLOOKUP(Wahlbogen!$B$6,F!$A$2:$C$22,3,0),"Sp"),"",AN132),AN132))</f>
        <v/>
      </c>
      <c r="AV132" s="62" t="str">
        <f>IF(AO132="","",IF(OR(AO132="Fr",AO132="La",AO132="Sn"),IF(AO132&lt;&gt;IFERROR(VLOOKUP(Wahlbogen!$B$6,F!$A$2:$C$22,3,0),"Sp"),"",AO132),AO132))</f>
        <v>Wn</v>
      </c>
      <c r="AX132" s="62">
        <f t="shared" si="139"/>
        <v>14</v>
      </c>
      <c r="AY132" s="62">
        <f t="shared" si="140"/>
        <v>14</v>
      </c>
      <c r="AZ132" s="62" t="str">
        <f t="shared" si="141"/>
        <v/>
      </c>
      <c r="BA132" s="62">
        <f t="shared" si="142"/>
        <v>14</v>
      </c>
      <c r="BC132" s="62">
        <f t="shared" si="143"/>
        <v>8</v>
      </c>
      <c r="BD132" s="62">
        <f t="shared" si="144"/>
        <v>8</v>
      </c>
      <c r="BE132" s="62" t="str">
        <f t="shared" si="145"/>
        <v/>
      </c>
      <c r="BF132" s="62">
        <f t="shared" si="146"/>
        <v>8</v>
      </c>
      <c r="BH132" s="62" t="str">
        <f t="shared" si="147"/>
        <v>Wn</v>
      </c>
      <c r="BI132" s="62" t="str">
        <f t="shared" si="148"/>
        <v>Wn</v>
      </c>
      <c r="BJ132" s="62" t="str">
        <f t="shared" si="149"/>
        <v/>
      </c>
      <c r="BK132" s="62" t="str">
        <f t="shared" si="150"/>
        <v>Wn</v>
      </c>
      <c r="BM132" s="62" t="str">
        <f t="shared" si="151"/>
        <v>Ch</v>
      </c>
      <c r="BN132" s="62" t="str">
        <f t="shared" si="152"/>
        <v>Ch</v>
      </c>
      <c r="BO132" s="62" t="str">
        <f t="shared" si="153"/>
        <v/>
      </c>
      <c r="BP132" s="62" t="str">
        <f t="shared" si="154"/>
        <v>Ch</v>
      </c>
    </row>
    <row r="133" spans="1:68" x14ac:dyDescent="0.25">
      <c r="A133" s="30"/>
      <c r="Q133" s="12"/>
      <c r="R133" s="63" t="str">
        <f t="shared" si="123"/>
        <v>Physik</v>
      </c>
      <c r="S133" s="63" t="str">
        <f t="shared" si="124"/>
        <v>Physik</v>
      </c>
      <c r="T133" s="63">
        <f t="shared" si="125"/>
        <v>0</v>
      </c>
      <c r="U133" s="63" t="str">
        <f t="shared" si="126"/>
        <v>Physik</v>
      </c>
      <c r="W133" s="11"/>
      <c r="X133" s="11"/>
      <c r="Y133" s="11"/>
      <c r="AL133" s="14"/>
      <c r="AM133" s="14"/>
      <c r="AN133" s="14" t="s">
        <v>19</v>
      </c>
      <c r="AO133" s="14"/>
      <c r="AQ133" s="60">
        <v>12</v>
      </c>
      <c r="AS133" s="62" t="str">
        <f>IF(AL133="","",IF(OR(AL133="Fr",AL133="La",AL133="Sn"),IF(AL133&lt;&gt;IFERROR(VLOOKUP(Wahlbogen!$B$6,F!$A$2:$C$22,3,0),"Sp"),"",AL133),AL133))</f>
        <v/>
      </c>
      <c r="AT133" s="62" t="str">
        <f>IF(AM133="","",IF(OR(AM133="Fr",AM133="La",AM133="Sn"),IF(AM133&lt;&gt;IFERROR(VLOOKUP(Wahlbogen!$B$6,F!$A$2:$C$22,3,0),"Sp"),"",AM133),AM133))</f>
        <v/>
      </c>
      <c r="AU133" s="62" t="str">
        <f>IF(AN133="","",IF(OR(AN133="Fr",AN133="La",AN133="Sn"),IF(AN133&lt;&gt;IFERROR(VLOOKUP(Wahlbogen!$B$6,F!$A$2:$C$22,3,0),"Sp"),"",AN133),AN133))</f>
        <v/>
      </c>
      <c r="AV133" s="62" t="str">
        <f>IF(AO133="","",IF(OR(AO133="Fr",AO133="La",AO133="Sn"),IF(AO133&lt;&gt;IFERROR(VLOOKUP(Wahlbogen!$B$6,F!$A$2:$C$22,3,0),"Sp"),"",AO133),AO133))</f>
        <v/>
      </c>
      <c r="AX133" s="62" t="str">
        <f t="shared" si="139"/>
        <v/>
      </c>
      <c r="AY133" s="62" t="str">
        <f t="shared" si="140"/>
        <v/>
      </c>
      <c r="AZ133" s="62" t="str">
        <f t="shared" si="141"/>
        <v/>
      </c>
      <c r="BA133" s="62" t="str">
        <f t="shared" si="142"/>
        <v/>
      </c>
      <c r="BC133" s="62" t="str">
        <f t="shared" si="143"/>
        <v/>
      </c>
      <c r="BD133" s="62" t="str">
        <f t="shared" si="144"/>
        <v/>
      </c>
      <c r="BE133" s="62" t="str">
        <f t="shared" si="145"/>
        <v/>
      </c>
      <c r="BF133" s="62" t="str">
        <f t="shared" si="146"/>
        <v/>
      </c>
      <c r="BH133" s="62" t="str">
        <f t="shared" si="147"/>
        <v/>
      </c>
      <c r="BI133" s="62" t="str">
        <f t="shared" si="148"/>
        <v/>
      </c>
      <c r="BJ133" s="62" t="str">
        <f t="shared" si="149"/>
        <v/>
      </c>
      <c r="BK133" s="62" t="str">
        <f t="shared" si="150"/>
        <v/>
      </c>
      <c r="BM133" s="62" t="str">
        <f t="shared" si="151"/>
        <v>Ph</v>
      </c>
      <c r="BN133" s="62" t="str">
        <f t="shared" si="152"/>
        <v>Ph</v>
      </c>
      <c r="BO133" s="62" t="str">
        <f t="shared" si="153"/>
        <v/>
      </c>
      <c r="BP133" s="62" t="str">
        <f t="shared" si="154"/>
        <v>Ph</v>
      </c>
    </row>
    <row r="134" spans="1:68" x14ac:dyDescent="0.25">
      <c r="A134" s="30"/>
      <c r="Q134" s="12"/>
      <c r="R134" s="63">
        <f t="shared" si="123"/>
        <v>0</v>
      </c>
      <c r="S134" s="63">
        <f t="shared" si="124"/>
        <v>0</v>
      </c>
      <c r="T134" s="63">
        <f t="shared" si="125"/>
        <v>0</v>
      </c>
      <c r="U134" s="63">
        <f t="shared" si="126"/>
        <v>0</v>
      </c>
      <c r="W134" s="11"/>
      <c r="X134" s="11"/>
      <c r="Y134" s="11"/>
      <c r="AL134" s="14" t="s">
        <v>55</v>
      </c>
      <c r="AM134" s="14" t="s">
        <v>55</v>
      </c>
      <c r="AN134" s="14" t="s">
        <v>55</v>
      </c>
      <c r="AO134" s="14" t="s">
        <v>55</v>
      </c>
      <c r="AQ134" s="60">
        <v>13</v>
      </c>
      <c r="AS134" s="62" t="str">
        <f>IF(AL134="","",IF(OR(AL134="Fr",AL134="La",AL134="Sn"),IF(AL134&lt;&gt;IFERROR(VLOOKUP(Wahlbogen!$B$6,F!$A$2:$C$22,3,0),"Sp"),"",AL134),AL134))</f>
        <v>Ma</v>
      </c>
      <c r="AT134" s="62" t="str">
        <f>IF(AM134="","",IF(OR(AM134="Fr",AM134="La",AM134="Sn"),IF(AM134&lt;&gt;IFERROR(VLOOKUP(Wahlbogen!$B$6,F!$A$2:$C$22,3,0),"Sp"),"",AM134),AM134))</f>
        <v>Ma</v>
      </c>
      <c r="AU134" s="62" t="str">
        <f>IF(AN134="","",IF(OR(AN134="Fr",AN134="La",AN134="Sn"),IF(AN134&lt;&gt;IFERROR(VLOOKUP(Wahlbogen!$B$6,F!$A$2:$C$22,3,0),"Sp"),"",AN134),AN134))</f>
        <v>Ma</v>
      </c>
      <c r="AV134" s="62" t="str">
        <f>IF(AO134="","",IF(OR(AO134="Fr",AO134="La",AO134="Sn"),IF(AO134&lt;&gt;IFERROR(VLOOKUP(Wahlbogen!$B$6,F!$A$2:$C$22,3,0),"Sp"),"",AO134),AO134))</f>
        <v>Ma</v>
      </c>
      <c r="AX134" s="62">
        <f t="shared" si="139"/>
        <v>15</v>
      </c>
      <c r="AY134" s="62">
        <f t="shared" si="140"/>
        <v>15</v>
      </c>
      <c r="AZ134" s="62">
        <f t="shared" si="141"/>
        <v>15</v>
      </c>
      <c r="BA134" s="62">
        <f t="shared" si="142"/>
        <v>15</v>
      </c>
      <c r="BC134" s="62">
        <f t="shared" si="143"/>
        <v>9</v>
      </c>
      <c r="BD134" s="62">
        <f t="shared" si="144"/>
        <v>9</v>
      </c>
      <c r="BE134" s="62">
        <f t="shared" si="145"/>
        <v>4</v>
      </c>
      <c r="BF134" s="62">
        <f t="shared" si="146"/>
        <v>9</v>
      </c>
      <c r="BH134" s="62" t="str">
        <f t="shared" si="147"/>
        <v>Ma</v>
      </c>
      <c r="BI134" s="62" t="str">
        <f t="shared" si="148"/>
        <v>Ma</v>
      </c>
      <c r="BJ134" s="62" t="str">
        <f t="shared" si="149"/>
        <v>Ma</v>
      </c>
      <c r="BK134" s="62" t="str">
        <f t="shared" si="150"/>
        <v>Ma</v>
      </c>
      <c r="BM134" s="62" t="str">
        <f t="shared" si="151"/>
        <v/>
      </c>
      <c r="BN134" s="62" t="str">
        <f t="shared" si="152"/>
        <v/>
      </c>
      <c r="BO134" s="62" t="str">
        <f t="shared" si="153"/>
        <v/>
      </c>
      <c r="BP134" s="62" t="str">
        <f t="shared" si="154"/>
        <v/>
      </c>
    </row>
    <row r="135" spans="1:68" x14ac:dyDescent="0.25">
      <c r="A135" s="30"/>
      <c r="Q135" s="12"/>
      <c r="R135" s="63">
        <f t="shared" si="123"/>
        <v>0</v>
      </c>
      <c r="S135" s="63">
        <f t="shared" si="124"/>
        <v>0</v>
      </c>
      <c r="T135" s="63">
        <f t="shared" si="125"/>
        <v>0</v>
      </c>
      <c r="U135" s="63">
        <f t="shared" si="126"/>
        <v>0</v>
      </c>
      <c r="W135" s="11"/>
      <c r="X135" s="11"/>
      <c r="Y135" s="11"/>
      <c r="AL135" s="14" t="s">
        <v>42</v>
      </c>
      <c r="AM135" s="14" t="s">
        <v>42</v>
      </c>
      <c r="AN135" s="14" t="s">
        <v>42</v>
      </c>
      <c r="AO135" s="14" t="s">
        <v>42</v>
      </c>
      <c r="AQ135" s="60">
        <v>14</v>
      </c>
      <c r="AS135" s="62" t="str">
        <f>IF(AL135="","",IF(OR(AL135="Fr",AL135="La",AL135="Sn"),IF(AL135&lt;&gt;IFERROR(VLOOKUP(Wahlbogen!$B$6,F!$A$2:$C$22,3,0),"Sp"),"",AL135),AL135))</f>
        <v>Bi</v>
      </c>
      <c r="AT135" s="62" t="str">
        <f>IF(AM135="","",IF(OR(AM135="Fr",AM135="La",AM135="Sn"),IF(AM135&lt;&gt;IFERROR(VLOOKUP(Wahlbogen!$B$6,F!$A$2:$C$22,3,0),"Sp"),"",AM135),AM135))</f>
        <v>Bi</v>
      </c>
      <c r="AU135" s="62" t="str">
        <f>IF(AN135="","",IF(OR(AN135="Fr",AN135="La",AN135="Sn"),IF(AN135&lt;&gt;IFERROR(VLOOKUP(Wahlbogen!$B$6,F!$A$2:$C$22,3,0),"Sp"),"",AN135),AN135))</f>
        <v>Bi</v>
      </c>
      <c r="AV135" s="62" t="str">
        <f>IF(AO135="","",IF(OR(AO135="Fr",AO135="La",AO135="Sn"),IF(AO135&lt;&gt;IFERROR(VLOOKUP(Wahlbogen!$B$6,F!$A$2:$C$22,3,0),"Sp"),"",AO135),AO135))</f>
        <v>Bi</v>
      </c>
      <c r="AX135" s="62">
        <f t="shared" si="139"/>
        <v>16</v>
      </c>
      <c r="AY135" s="62">
        <f t="shared" si="140"/>
        <v>16</v>
      </c>
      <c r="AZ135" s="62">
        <f t="shared" si="141"/>
        <v>16</v>
      </c>
      <c r="BA135" s="62">
        <f t="shared" si="142"/>
        <v>16</v>
      </c>
      <c r="BC135" s="62">
        <f t="shared" si="143"/>
        <v>10</v>
      </c>
      <c r="BD135" s="62">
        <f t="shared" si="144"/>
        <v>10</v>
      </c>
      <c r="BE135" s="62">
        <f t="shared" si="145"/>
        <v>5</v>
      </c>
      <c r="BF135" s="62">
        <f t="shared" si="146"/>
        <v>10</v>
      </c>
      <c r="BH135" s="62" t="str">
        <f t="shared" si="147"/>
        <v>Bi</v>
      </c>
      <c r="BI135" s="62" t="str">
        <f t="shared" si="148"/>
        <v>Bi</v>
      </c>
      <c r="BJ135" s="62" t="str">
        <f t="shared" si="149"/>
        <v>Bi</v>
      </c>
      <c r="BK135" s="62" t="str">
        <f t="shared" si="150"/>
        <v>Bi</v>
      </c>
      <c r="BM135" s="62" t="str">
        <f t="shared" si="151"/>
        <v/>
      </c>
      <c r="BN135" s="62" t="str">
        <f t="shared" si="152"/>
        <v/>
      </c>
      <c r="BO135" s="62" t="str">
        <f t="shared" si="153"/>
        <v/>
      </c>
      <c r="BP135" s="62" t="str">
        <f t="shared" si="154"/>
        <v/>
      </c>
    </row>
    <row r="136" spans="1:68" x14ac:dyDescent="0.25">
      <c r="A136" s="30"/>
      <c r="Q136" s="12"/>
      <c r="R136" s="63">
        <f t="shared" si="123"/>
        <v>0</v>
      </c>
      <c r="S136" s="63">
        <f t="shared" si="124"/>
        <v>0</v>
      </c>
      <c r="T136" s="63">
        <f t="shared" si="125"/>
        <v>0</v>
      </c>
      <c r="U136" s="63">
        <f t="shared" si="126"/>
        <v>0</v>
      </c>
      <c r="W136" s="11"/>
      <c r="X136" s="11"/>
      <c r="Y136" s="11"/>
      <c r="AL136" s="14" t="s">
        <v>43</v>
      </c>
      <c r="AM136" s="14" t="s">
        <v>43</v>
      </c>
      <c r="AN136" s="14" t="s">
        <v>43</v>
      </c>
      <c r="AO136" s="14" t="s">
        <v>43</v>
      </c>
      <c r="AQ136" s="60">
        <v>15</v>
      </c>
      <c r="AS136" s="62" t="str">
        <f>IF(AL136="","",IF(OR(AL136="Fr",AL136="La",AL136="Sn"),IF(AL136&lt;&gt;IFERROR(VLOOKUP(Wahlbogen!$B$6,F!$A$2:$C$22,3,0),"Sp"),"",AL136),AL136))</f>
        <v>Ch</v>
      </c>
      <c r="AT136" s="62" t="str">
        <f>IF(AM136="","",IF(OR(AM136="Fr",AM136="La",AM136="Sn"),IF(AM136&lt;&gt;IFERROR(VLOOKUP(Wahlbogen!$B$6,F!$A$2:$C$22,3,0),"Sp"),"",AM136),AM136))</f>
        <v>Ch</v>
      </c>
      <c r="AU136" s="62" t="str">
        <f>IF(AN136="","",IF(OR(AN136="Fr",AN136="La",AN136="Sn"),IF(AN136&lt;&gt;IFERROR(VLOOKUP(Wahlbogen!$B$6,F!$A$2:$C$22,3,0),"Sp"),"",AN136),AN136))</f>
        <v>Ch</v>
      </c>
      <c r="AV136" s="62" t="str">
        <f>IF(AO136="","",IF(OR(AO136="Fr",AO136="La",AO136="Sn"),IF(AO136&lt;&gt;IFERROR(VLOOKUP(Wahlbogen!$B$6,F!$A$2:$C$22,3,0),"Sp"),"",AO136),AO136))</f>
        <v>Ch</v>
      </c>
      <c r="AX136" s="62">
        <f t="shared" si="139"/>
        <v>17</v>
      </c>
      <c r="AY136" s="62">
        <f t="shared" si="140"/>
        <v>17</v>
      </c>
      <c r="AZ136" s="62">
        <f t="shared" si="141"/>
        <v>17</v>
      </c>
      <c r="BA136" s="62">
        <f t="shared" si="142"/>
        <v>17</v>
      </c>
      <c r="BC136" s="62">
        <f t="shared" si="143"/>
        <v>11</v>
      </c>
      <c r="BD136" s="62">
        <f t="shared" si="144"/>
        <v>11</v>
      </c>
      <c r="BE136" s="62">
        <f t="shared" si="145"/>
        <v>6</v>
      </c>
      <c r="BF136" s="62">
        <f t="shared" si="146"/>
        <v>11</v>
      </c>
      <c r="BH136" s="62" t="str">
        <f t="shared" si="147"/>
        <v>Ch</v>
      </c>
      <c r="BI136" s="62" t="str">
        <f t="shared" si="148"/>
        <v>Ch</v>
      </c>
      <c r="BJ136" s="62" t="str">
        <f t="shared" si="149"/>
        <v>Ch</v>
      </c>
      <c r="BK136" s="62" t="str">
        <f t="shared" si="150"/>
        <v>Ch</v>
      </c>
      <c r="BM136" s="62" t="str">
        <f t="shared" si="151"/>
        <v/>
      </c>
      <c r="BN136" s="62" t="str">
        <f t="shared" si="152"/>
        <v/>
      </c>
      <c r="BO136" s="62" t="str">
        <f t="shared" si="153"/>
        <v/>
      </c>
      <c r="BP136" s="62" t="str">
        <f t="shared" si="154"/>
        <v/>
      </c>
    </row>
    <row r="137" spans="1:68" x14ac:dyDescent="0.25">
      <c r="A137" s="30"/>
      <c r="Q137" s="12"/>
      <c r="R137" s="63">
        <f t="shared" si="123"/>
        <v>0</v>
      </c>
      <c r="S137" s="63">
        <f t="shared" si="124"/>
        <v>0</v>
      </c>
      <c r="T137" s="63">
        <f t="shared" si="125"/>
        <v>0</v>
      </c>
      <c r="U137" s="63">
        <f t="shared" si="126"/>
        <v>0</v>
      </c>
      <c r="W137" s="11"/>
      <c r="X137" s="11"/>
      <c r="Y137" s="11"/>
      <c r="AL137" s="14" t="s">
        <v>57</v>
      </c>
      <c r="AM137" s="14" t="s">
        <v>57</v>
      </c>
      <c r="AN137" s="14" t="s">
        <v>57</v>
      </c>
      <c r="AO137" s="14" t="s">
        <v>57</v>
      </c>
      <c r="AQ137" s="60">
        <v>16</v>
      </c>
      <c r="AS137" s="62" t="str">
        <f>IF(AL137="","",IF(OR(AL137="Fr",AL137="La",AL137="Sn"),IF(AL137&lt;&gt;IFERROR(VLOOKUP(Wahlbogen!$B$6,F!$A$2:$C$22,3,0),"Sp"),"",AL137),AL137))</f>
        <v>Ph</v>
      </c>
      <c r="AT137" s="62" t="str">
        <f>IF(AM137="","",IF(OR(AM137="Fr",AM137="La",AM137="Sn"),IF(AM137&lt;&gt;IFERROR(VLOOKUP(Wahlbogen!$B$6,F!$A$2:$C$22,3,0),"Sp"),"",AM137),AM137))</f>
        <v>Ph</v>
      </c>
      <c r="AU137" s="62" t="str">
        <f>IF(AN137="","",IF(OR(AN137="Fr",AN137="La",AN137="Sn"),IF(AN137&lt;&gt;IFERROR(VLOOKUP(Wahlbogen!$B$6,F!$A$2:$C$22,3,0),"Sp"),"",AN137),AN137))</f>
        <v>Ph</v>
      </c>
      <c r="AV137" s="62" t="str">
        <f>IF(AO137="","",IF(OR(AO137="Fr",AO137="La",AO137="Sn"),IF(AO137&lt;&gt;IFERROR(VLOOKUP(Wahlbogen!$B$6,F!$A$2:$C$22,3,0),"Sp"),"",AO137),AO137))</f>
        <v>Ph</v>
      </c>
      <c r="AX137" s="62">
        <f t="shared" si="139"/>
        <v>18</v>
      </c>
      <c r="AY137" s="62">
        <f t="shared" si="140"/>
        <v>18</v>
      </c>
      <c r="AZ137" s="62">
        <f t="shared" si="141"/>
        <v>18</v>
      </c>
      <c r="BA137" s="62">
        <f t="shared" si="142"/>
        <v>18</v>
      </c>
      <c r="BC137" s="62">
        <f t="shared" si="143"/>
        <v>12</v>
      </c>
      <c r="BD137" s="62">
        <f t="shared" si="144"/>
        <v>12</v>
      </c>
      <c r="BE137" s="62">
        <f t="shared" si="145"/>
        <v>7</v>
      </c>
      <c r="BF137" s="62">
        <f t="shared" si="146"/>
        <v>12</v>
      </c>
      <c r="BH137" s="62" t="str">
        <f t="shared" si="147"/>
        <v>Ph</v>
      </c>
      <c r="BI137" s="62" t="str">
        <f t="shared" si="148"/>
        <v>Ph</v>
      </c>
      <c r="BJ137" s="62" t="str">
        <f t="shared" si="149"/>
        <v>Ph</v>
      </c>
      <c r="BK137" s="62" t="str">
        <f t="shared" si="150"/>
        <v>Ph</v>
      </c>
      <c r="BM137" s="62" t="str">
        <f t="shared" si="151"/>
        <v/>
      </c>
      <c r="BN137" s="62" t="str">
        <f t="shared" si="152"/>
        <v/>
      </c>
      <c r="BO137" s="62" t="str">
        <f t="shared" si="153"/>
        <v/>
      </c>
      <c r="BP137" s="62" t="str">
        <f t="shared" si="154"/>
        <v/>
      </c>
    </row>
    <row r="138" spans="1:68" x14ac:dyDescent="0.25">
      <c r="A138" s="30"/>
      <c r="Q138" s="12"/>
      <c r="R138" s="63">
        <f t="shared" si="123"/>
        <v>0</v>
      </c>
      <c r="S138" s="63">
        <f t="shared" si="124"/>
        <v>0</v>
      </c>
      <c r="T138" s="63">
        <f t="shared" si="125"/>
        <v>0</v>
      </c>
      <c r="U138" s="63">
        <f t="shared" si="126"/>
        <v>0</v>
      </c>
      <c r="W138" s="11"/>
      <c r="X138" s="11"/>
      <c r="Y138" s="11"/>
      <c r="AL138" s="14" t="s">
        <v>19</v>
      </c>
      <c r="AM138" s="14" t="s">
        <v>19</v>
      </c>
      <c r="AN138" s="14" t="s">
        <v>19</v>
      </c>
      <c r="AO138" s="14" t="s">
        <v>19</v>
      </c>
      <c r="AQ138" s="60">
        <v>17</v>
      </c>
      <c r="AS138" s="62" t="str">
        <f>IF(AL138="","",IF(OR(AL138="Fr",AL138="La",AL138="Sn"),IF(AL138&lt;&gt;IFERROR(VLOOKUP(Wahlbogen!$B$6,F!$A$2:$C$22,3,0),"Sp"),"",AL138),AL138))</f>
        <v/>
      </c>
      <c r="AT138" s="62" t="str">
        <f>IF(AM138="","",IF(OR(AM138="Fr",AM138="La",AM138="Sn"),IF(AM138&lt;&gt;IFERROR(VLOOKUP(Wahlbogen!$B$6,F!$A$2:$C$22,3,0),"Sp"),"",AM138),AM138))</f>
        <v/>
      </c>
      <c r="AU138" s="62" t="str">
        <f>IF(AN138="","",IF(OR(AN138="Fr",AN138="La",AN138="Sn"),IF(AN138&lt;&gt;IFERROR(VLOOKUP(Wahlbogen!$B$6,F!$A$2:$C$22,3,0),"Sp"),"",AN138),AN138))</f>
        <v/>
      </c>
      <c r="AV138" s="62" t="str">
        <f>IF(AO138="","",IF(OR(AO138="Fr",AO138="La",AO138="Sn"),IF(AO138&lt;&gt;IFERROR(VLOOKUP(Wahlbogen!$B$6,F!$A$2:$C$22,3,0),"Sp"),"",AO138),AO138))</f>
        <v/>
      </c>
      <c r="AX138" s="62" t="str">
        <f t="shared" si="139"/>
        <v/>
      </c>
      <c r="AY138" s="62" t="str">
        <f t="shared" si="140"/>
        <v/>
      </c>
      <c r="AZ138" s="62" t="str">
        <f t="shared" si="141"/>
        <v/>
      </c>
      <c r="BA138" s="62" t="str">
        <f t="shared" si="142"/>
        <v/>
      </c>
      <c r="BC138" s="62" t="str">
        <f t="shared" si="143"/>
        <v/>
      </c>
      <c r="BD138" s="62" t="str">
        <f t="shared" si="144"/>
        <v/>
      </c>
      <c r="BE138" s="62" t="str">
        <f t="shared" si="145"/>
        <v/>
      </c>
      <c r="BF138" s="62" t="str">
        <f t="shared" si="146"/>
        <v/>
      </c>
      <c r="BH138" s="62" t="str">
        <f t="shared" si="147"/>
        <v/>
      </c>
      <c r="BI138" s="62" t="str">
        <f t="shared" si="148"/>
        <v/>
      </c>
      <c r="BJ138" s="62" t="str">
        <f t="shared" si="149"/>
        <v/>
      </c>
      <c r="BK138" s="62" t="str">
        <f t="shared" si="150"/>
        <v/>
      </c>
      <c r="BM138" s="62" t="str">
        <f t="shared" si="151"/>
        <v/>
      </c>
      <c r="BN138" s="62" t="str">
        <f t="shared" si="152"/>
        <v/>
      </c>
      <c r="BO138" s="62" t="str">
        <f t="shared" si="153"/>
        <v/>
      </c>
      <c r="BP138" s="62" t="str">
        <f t="shared" si="154"/>
        <v/>
      </c>
    </row>
    <row r="139" spans="1:68" x14ac:dyDescent="0.25">
      <c r="A139" s="30"/>
      <c r="Q139" s="12"/>
      <c r="R139" s="63">
        <f t="shared" si="123"/>
        <v>0</v>
      </c>
      <c r="S139" s="63">
        <f t="shared" si="124"/>
        <v>0</v>
      </c>
      <c r="T139" s="63">
        <f t="shared" si="125"/>
        <v>0</v>
      </c>
      <c r="U139" s="63">
        <f t="shared" si="126"/>
        <v>0</v>
      </c>
      <c r="W139" s="11"/>
      <c r="X139" s="11"/>
      <c r="Y139" s="11"/>
      <c r="AL139" s="14" t="s">
        <v>56</v>
      </c>
      <c r="AM139" s="14" t="s">
        <v>56</v>
      </c>
      <c r="AN139" s="14" t="s">
        <v>56</v>
      </c>
      <c r="AO139" s="14" t="s">
        <v>56</v>
      </c>
      <c r="AQ139" s="60">
        <v>18</v>
      </c>
      <c r="AS139" s="62" t="str">
        <f>IF(AL139="","",IF(OR(AL139="Fr",AL139="La",AL139="Sn"),IF(AL139&lt;&gt;IFERROR(VLOOKUP(Wahlbogen!$B$6,F!$A$2:$C$22,3,0),"Sp"),"",AL139),AL139))</f>
        <v>Mu</v>
      </c>
      <c r="AT139" s="62" t="str">
        <f>IF(AM139="","",IF(OR(AM139="Fr",AM139="La",AM139="Sn"),IF(AM139&lt;&gt;IFERROR(VLOOKUP(Wahlbogen!$B$6,F!$A$2:$C$22,3,0),"Sp"),"",AM139),AM139))</f>
        <v>Mu</v>
      </c>
      <c r="AU139" s="62" t="str">
        <f>IF(AN139="","",IF(OR(AN139="Fr",AN139="La",AN139="Sn"),IF(AN139&lt;&gt;IFERROR(VLOOKUP(Wahlbogen!$B$6,F!$A$2:$C$22,3,0),"Sp"),"",AN139),AN139))</f>
        <v>Mu</v>
      </c>
      <c r="AV139" s="62" t="str">
        <f>IF(AO139="","",IF(OR(AO139="Fr",AO139="La",AO139="Sn"),IF(AO139&lt;&gt;IFERROR(VLOOKUP(Wahlbogen!$B$6,F!$A$2:$C$22,3,0),"Sp"),"",AO139),AO139))</f>
        <v>Mu</v>
      </c>
      <c r="AX139" s="62">
        <f t="shared" si="139"/>
        <v>8</v>
      </c>
      <c r="AY139" s="62">
        <f t="shared" si="140"/>
        <v>8</v>
      </c>
      <c r="AZ139" s="62">
        <f t="shared" si="141"/>
        <v>8</v>
      </c>
      <c r="BA139" s="62">
        <f t="shared" si="142"/>
        <v>8</v>
      </c>
      <c r="BC139" s="62">
        <f t="shared" si="143"/>
        <v>3</v>
      </c>
      <c r="BD139" s="62">
        <f t="shared" si="144"/>
        <v>3</v>
      </c>
      <c r="BE139" s="62">
        <f t="shared" si="145"/>
        <v>3</v>
      </c>
      <c r="BF139" s="62">
        <f t="shared" si="146"/>
        <v>3</v>
      </c>
      <c r="BH139" s="62" t="str">
        <f t="shared" si="147"/>
        <v>Mu</v>
      </c>
      <c r="BI139" s="62" t="str">
        <f t="shared" si="148"/>
        <v>Mu</v>
      </c>
      <c r="BJ139" s="62" t="str">
        <f t="shared" si="149"/>
        <v>Mu</v>
      </c>
      <c r="BK139" s="62" t="str">
        <f t="shared" si="150"/>
        <v>Mu</v>
      </c>
      <c r="BM139" s="62" t="str">
        <f t="shared" si="151"/>
        <v/>
      </c>
      <c r="BN139" s="62" t="str">
        <f t="shared" si="152"/>
        <v/>
      </c>
      <c r="BO139" s="62" t="str">
        <f t="shared" si="153"/>
        <v/>
      </c>
      <c r="BP139" s="62" t="str">
        <f t="shared" si="154"/>
        <v/>
      </c>
    </row>
    <row r="140" spans="1:68" x14ac:dyDescent="0.25">
      <c r="A140" s="30"/>
      <c r="Q140" s="12"/>
      <c r="R140" s="63">
        <f t="shared" si="123"/>
        <v>0</v>
      </c>
      <c r="S140" s="63">
        <f t="shared" si="124"/>
        <v>0</v>
      </c>
      <c r="T140" s="63">
        <f t="shared" si="125"/>
        <v>0</v>
      </c>
      <c r="U140" s="63">
        <f t="shared" si="126"/>
        <v>0</v>
      </c>
      <c r="W140" s="11"/>
      <c r="X140" s="11"/>
      <c r="Y140" s="11"/>
      <c r="AL140" s="14" t="s">
        <v>19</v>
      </c>
      <c r="AM140" s="14" t="s">
        <v>19</v>
      </c>
      <c r="AN140" s="14" t="s">
        <v>19</v>
      </c>
      <c r="AO140" s="14" t="s">
        <v>19</v>
      </c>
      <c r="AQ140" s="60">
        <v>19</v>
      </c>
      <c r="AS140" s="62" t="str">
        <f>IF(AL140="","",IF(OR(AL140="Fr",AL140="La",AL140="Sn"),IF(AL140&lt;&gt;IFERROR(VLOOKUP(Wahlbogen!$B$6,F!$A$2:$C$22,3,0),"Sp"),"",AL140),AL140))</f>
        <v/>
      </c>
      <c r="AT140" s="62" t="str">
        <f>IF(AM140="","",IF(OR(AM140="Fr",AM140="La",AM140="Sn"),IF(AM140&lt;&gt;IFERROR(VLOOKUP(Wahlbogen!$B$6,F!$A$2:$C$22,3,0),"Sp"),"",AM140),AM140))</f>
        <v/>
      </c>
      <c r="AU140" s="62" t="str">
        <f>IF(AN140="","",IF(OR(AN140="Fr",AN140="La",AN140="Sn"),IF(AN140&lt;&gt;IFERROR(VLOOKUP(Wahlbogen!$B$6,F!$A$2:$C$22,3,0),"Sp"),"",AN140),AN140))</f>
        <v/>
      </c>
      <c r="AV140" s="62" t="str">
        <f>IF(AO140="","",IF(OR(AO140="Fr",AO140="La",AO140="Sn"),IF(AO140&lt;&gt;IFERROR(VLOOKUP(Wahlbogen!$B$6,F!$A$2:$C$22,3,0),"Sp"),"",AO140),AO140))</f>
        <v/>
      </c>
      <c r="AX140" s="62" t="str">
        <f t="shared" si="139"/>
        <v/>
      </c>
      <c r="AY140" s="62" t="str">
        <f t="shared" si="140"/>
        <v/>
      </c>
      <c r="AZ140" s="62" t="str">
        <f t="shared" si="141"/>
        <v/>
      </c>
      <c r="BA140" s="62" t="str">
        <f t="shared" si="142"/>
        <v/>
      </c>
      <c r="BC140" s="62" t="str">
        <f t="shared" si="143"/>
        <v/>
      </c>
      <c r="BD140" s="62" t="str">
        <f t="shared" si="144"/>
        <v/>
      </c>
      <c r="BE140" s="62" t="str">
        <f t="shared" si="145"/>
        <v/>
      </c>
      <c r="BF140" s="62" t="str">
        <f t="shared" si="146"/>
        <v/>
      </c>
      <c r="BH140" s="62" t="str">
        <f t="shared" si="147"/>
        <v/>
      </c>
      <c r="BI140" s="62" t="str">
        <f t="shared" si="148"/>
        <v/>
      </c>
      <c r="BJ140" s="62" t="str">
        <f t="shared" si="149"/>
        <v/>
      </c>
      <c r="BK140" s="62" t="str">
        <f t="shared" si="150"/>
        <v/>
      </c>
      <c r="BM140" s="62" t="str">
        <f t="shared" si="151"/>
        <v/>
      </c>
      <c r="BN140" s="62" t="str">
        <f t="shared" si="152"/>
        <v/>
      </c>
      <c r="BO140" s="62" t="str">
        <f t="shared" si="153"/>
        <v/>
      </c>
      <c r="BP140" s="62" t="str">
        <f t="shared" si="154"/>
        <v/>
      </c>
    </row>
    <row r="141" spans="1:68" x14ac:dyDescent="0.25">
      <c r="A141" s="30"/>
      <c r="Q141" s="12"/>
      <c r="R141" s="63">
        <f t="shared" si="123"/>
        <v>0</v>
      </c>
      <c r="S141" s="63">
        <f t="shared" si="124"/>
        <v>0</v>
      </c>
      <c r="T141" s="63">
        <f t="shared" si="125"/>
        <v>0</v>
      </c>
      <c r="U141" s="63">
        <f t="shared" si="126"/>
        <v>0</v>
      </c>
      <c r="W141" s="11"/>
      <c r="X141" s="11"/>
      <c r="Y141" s="11"/>
      <c r="AL141" s="14" t="s">
        <v>19</v>
      </c>
      <c r="AM141" s="14" t="s">
        <v>19</v>
      </c>
      <c r="AN141" s="14" t="s">
        <v>19</v>
      </c>
      <c r="AO141" s="14" t="s">
        <v>19</v>
      </c>
      <c r="AQ141" s="60">
        <v>20</v>
      </c>
      <c r="AS141" s="62" t="str">
        <f>IF(AL141="","",IF(OR(AL141="Fr",AL141="La",AL141="Sn"),IF(AL141&lt;&gt;IFERROR(VLOOKUP(Wahlbogen!$B$6,F!$A$2:$C$22,3,0),"Sp"),"",AL141),AL141))</f>
        <v/>
      </c>
      <c r="AT141" s="62" t="str">
        <f>IF(AM141="","",IF(OR(AM141="Fr",AM141="La",AM141="Sn"),IF(AM141&lt;&gt;IFERROR(VLOOKUP(Wahlbogen!$B$6,F!$A$2:$C$22,3,0),"Sp"),"",AM141),AM141))</f>
        <v/>
      </c>
      <c r="AU141" s="62" t="str">
        <f>IF(AN141="","",IF(OR(AN141="Fr",AN141="La",AN141="Sn"),IF(AN141&lt;&gt;IFERROR(VLOOKUP(Wahlbogen!$B$6,F!$A$2:$C$22,3,0),"Sp"),"",AN141),AN141))</f>
        <v/>
      </c>
      <c r="AV141" s="62" t="str">
        <f>IF(AO141="","",IF(OR(AO141="Fr",AO141="La",AO141="Sn"),IF(AO141&lt;&gt;IFERROR(VLOOKUP(Wahlbogen!$B$6,F!$A$2:$C$22,3,0),"Sp"),"",AO141),AO141))</f>
        <v/>
      </c>
      <c r="AX141" s="62" t="str">
        <f t="shared" si="139"/>
        <v/>
      </c>
      <c r="AY141" s="62" t="str">
        <f t="shared" si="140"/>
        <v/>
      </c>
      <c r="AZ141" s="62" t="str">
        <f t="shared" si="141"/>
        <v/>
      </c>
      <c r="BA141" s="62" t="str">
        <f t="shared" si="142"/>
        <v/>
      </c>
      <c r="BC141" s="62" t="str">
        <f t="shared" si="143"/>
        <v/>
      </c>
      <c r="BD141" s="62" t="str">
        <f t="shared" si="144"/>
        <v/>
      </c>
      <c r="BE141" s="62" t="str">
        <f t="shared" si="145"/>
        <v/>
      </c>
      <c r="BF141" s="62" t="str">
        <f t="shared" si="146"/>
        <v/>
      </c>
      <c r="BH141" s="62" t="str">
        <f t="shared" si="147"/>
        <v/>
      </c>
      <c r="BI141" s="62" t="str">
        <f t="shared" si="148"/>
        <v/>
      </c>
      <c r="BJ141" s="62" t="str">
        <f t="shared" si="149"/>
        <v/>
      </c>
      <c r="BK141" s="62" t="str">
        <f t="shared" si="150"/>
        <v/>
      </c>
      <c r="BM141" s="62" t="str">
        <f t="shared" si="151"/>
        <v/>
      </c>
      <c r="BN141" s="62" t="str">
        <f t="shared" si="152"/>
        <v/>
      </c>
      <c r="BO141" s="62" t="str">
        <f t="shared" si="153"/>
        <v/>
      </c>
      <c r="BP141" s="62" t="str">
        <f t="shared" si="154"/>
        <v/>
      </c>
    </row>
    <row r="142" spans="1:68" x14ac:dyDescent="0.25">
      <c r="A142" s="30"/>
      <c r="Q142" s="12"/>
      <c r="R142" s="63">
        <f t="shared" si="123"/>
        <v>0</v>
      </c>
      <c r="S142" s="63">
        <f t="shared" si="124"/>
        <v>0</v>
      </c>
      <c r="T142" s="63">
        <f t="shared" si="125"/>
        <v>0</v>
      </c>
      <c r="U142" s="63">
        <f t="shared" si="126"/>
        <v>0</v>
      </c>
      <c r="W142" s="11"/>
      <c r="X142" s="11"/>
      <c r="Y142" s="11"/>
    </row>
    <row r="143" spans="1:68" x14ac:dyDescent="0.25">
      <c r="A143" s="30"/>
      <c r="Q143" s="12"/>
      <c r="R143" s="63">
        <f t="shared" si="123"/>
        <v>0</v>
      </c>
      <c r="S143" s="63">
        <f t="shared" si="124"/>
        <v>0</v>
      </c>
      <c r="T143" s="63">
        <f t="shared" si="125"/>
        <v>0</v>
      </c>
      <c r="U143" s="63">
        <f t="shared" si="126"/>
        <v>0</v>
      </c>
      <c r="W143" s="11"/>
      <c r="X143" s="11"/>
      <c r="Y143" s="11"/>
    </row>
    <row r="144" spans="1:68" x14ac:dyDescent="0.25">
      <c r="A144" s="30"/>
      <c r="Q144" s="12"/>
      <c r="R144" s="63">
        <f t="shared" si="123"/>
        <v>0</v>
      </c>
      <c r="S144" s="63">
        <f t="shared" si="124"/>
        <v>0</v>
      </c>
      <c r="T144" s="63">
        <f t="shared" si="125"/>
        <v>0</v>
      </c>
      <c r="U144" s="63">
        <f t="shared" si="126"/>
        <v>0</v>
      </c>
      <c r="W144" s="11"/>
      <c r="X144" s="11"/>
      <c r="Y144" s="11"/>
    </row>
    <row r="145" spans="1:68" x14ac:dyDescent="0.25">
      <c r="A145" s="30"/>
      <c r="Q145" s="12"/>
      <c r="R145" s="63">
        <f t="shared" si="123"/>
        <v>0</v>
      </c>
      <c r="S145" s="63">
        <f t="shared" si="124"/>
        <v>0</v>
      </c>
      <c r="T145" s="63">
        <f t="shared" si="125"/>
        <v>0</v>
      </c>
      <c r="U145" s="63">
        <f t="shared" si="126"/>
        <v>0</v>
      </c>
      <c r="W145" s="11"/>
      <c r="X145" s="11"/>
      <c r="Y145" s="11"/>
    </row>
    <row r="146" spans="1:68" x14ac:dyDescent="0.25">
      <c r="A146" s="30"/>
      <c r="Q146" s="12"/>
      <c r="R146" s="63">
        <f t="shared" si="123"/>
        <v>0</v>
      </c>
      <c r="S146" s="63">
        <f t="shared" si="124"/>
        <v>0</v>
      </c>
      <c r="T146" s="63">
        <f t="shared" si="125"/>
        <v>0</v>
      </c>
      <c r="U146" s="63">
        <f t="shared" si="126"/>
        <v>0</v>
      </c>
      <c r="W146" s="11"/>
      <c r="X146" s="11"/>
      <c r="Y146" s="11"/>
    </row>
    <row r="147" spans="1:68" x14ac:dyDescent="0.25">
      <c r="A147" s="30"/>
      <c r="Q147" s="12"/>
      <c r="R147" s="63">
        <f t="shared" si="123"/>
        <v>0</v>
      </c>
      <c r="S147" s="63">
        <f t="shared" si="124"/>
        <v>0</v>
      </c>
      <c r="T147" s="63">
        <f t="shared" si="125"/>
        <v>0</v>
      </c>
      <c r="U147" s="63">
        <f t="shared" si="126"/>
        <v>0</v>
      </c>
      <c r="W147" s="11"/>
      <c r="X147" s="11"/>
      <c r="Y147" s="11"/>
    </row>
    <row r="148" spans="1:68" x14ac:dyDescent="0.25">
      <c r="A148" s="30"/>
      <c r="Q148" s="12"/>
      <c r="R148" s="63">
        <f t="shared" si="123"/>
        <v>0</v>
      </c>
      <c r="S148" s="63">
        <f t="shared" si="124"/>
        <v>0</v>
      </c>
      <c r="T148" s="63">
        <f t="shared" si="125"/>
        <v>0</v>
      </c>
      <c r="U148" s="63">
        <f t="shared" si="126"/>
        <v>0</v>
      </c>
      <c r="W148" s="11"/>
      <c r="X148" s="11"/>
      <c r="Y148" s="11"/>
    </row>
    <row r="149" spans="1:68" x14ac:dyDescent="0.25">
      <c r="A149" s="30"/>
      <c r="Q149" s="12"/>
      <c r="R149" s="63">
        <f t="shared" si="123"/>
        <v>0</v>
      </c>
      <c r="S149" s="63">
        <f t="shared" si="124"/>
        <v>0</v>
      </c>
      <c r="T149" s="63">
        <f t="shared" si="125"/>
        <v>0</v>
      </c>
      <c r="U149" s="63">
        <f t="shared" si="126"/>
        <v>0</v>
      </c>
      <c r="W149" s="11"/>
      <c r="X149" s="11"/>
      <c r="Y149" s="11"/>
    </row>
    <row r="150" spans="1:68" x14ac:dyDescent="0.25">
      <c r="A150" s="30"/>
      <c r="Q150" s="12"/>
      <c r="R150" s="63">
        <f t="shared" si="123"/>
        <v>0</v>
      </c>
      <c r="S150" s="63">
        <f t="shared" si="124"/>
        <v>0</v>
      </c>
      <c r="T150" s="63">
        <f t="shared" si="125"/>
        <v>0</v>
      </c>
      <c r="U150" s="63">
        <f t="shared" si="126"/>
        <v>0</v>
      </c>
      <c r="W150" s="11"/>
      <c r="X150" s="11"/>
      <c r="Y150" s="11"/>
    </row>
    <row r="151" spans="1:68" x14ac:dyDescent="0.25">
      <c r="A151" s="30"/>
      <c r="Q151" s="12"/>
      <c r="R151" s="63">
        <f t="shared" si="123"/>
        <v>0</v>
      </c>
      <c r="S151" s="63">
        <f t="shared" si="124"/>
        <v>0</v>
      </c>
      <c r="T151" s="63">
        <f t="shared" si="125"/>
        <v>0</v>
      </c>
      <c r="U151" s="63">
        <f t="shared" si="126"/>
        <v>0</v>
      </c>
      <c r="W151" s="11"/>
      <c r="X151" s="11"/>
      <c r="Y151" s="11"/>
    </row>
    <row r="152" spans="1:68" x14ac:dyDescent="0.25">
      <c r="A152" s="30"/>
      <c r="Q152" s="12"/>
      <c r="R152" s="63">
        <f t="shared" si="123"/>
        <v>0</v>
      </c>
      <c r="S152" s="63">
        <f t="shared" si="124"/>
        <v>0</v>
      </c>
      <c r="T152" s="63">
        <f t="shared" si="125"/>
        <v>0</v>
      </c>
      <c r="U152" s="63">
        <f t="shared" si="126"/>
        <v>0</v>
      </c>
      <c r="W152" s="11"/>
      <c r="X152" s="11"/>
      <c r="Y152" s="11"/>
    </row>
    <row r="153" spans="1:68" x14ac:dyDescent="0.25">
      <c r="A153" s="30"/>
      <c r="Q153" s="12"/>
      <c r="R153" s="63">
        <f t="shared" si="123"/>
        <v>0</v>
      </c>
      <c r="S153" s="63">
        <f t="shared" si="124"/>
        <v>0</v>
      </c>
      <c r="T153" s="63">
        <f t="shared" si="125"/>
        <v>0</v>
      </c>
      <c r="U153" s="63">
        <f t="shared" si="126"/>
        <v>0</v>
      </c>
      <c r="W153" s="11"/>
      <c r="X153" s="11"/>
      <c r="Y153" s="11"/>
    </row>
    <row r="154" spans="1:68" x14ac:dyDescent="0.25">
      <c r="A154" s="30"/>
      <c r="Q154" s="12"/>
      <c r="W154" s="11"/>
      <c r="X154" s="11"/>
      <c r="Y154" s="11"/>
      <c r="AL154" t="s">
        <v>19</v>
      </c>
      <c r="AM154" t="s">
        <v>19</v>
      </c>
      <c r="AN154" t="s">
        <v>19</v>
      </c>
      <c r="AO154" t="s">
        <v>19</v>
      </c>
    </row>
    <row r="155" spans="1:68" x14ac:dyDescent="0.25">
      <c r="A155" s="30"/>
      <c r="Q155" s="12"/>
      <c r="W155" s="11"/>
      <c r="X155" s="11"/>
      <c r="Y155" s="11"/>
      <c r="AL155" t="s">
        <v>19</v>
      </c>
      <c r="AM155" t="s">
        <v>19</v>
      </c>
      <c r="AN155" t="s">
        <v>19</v>
      </c>
      <c r="AO155" t="s">
        <v>19</v>
      </c>
    </row>
    <row r="156" spans="1:68" x14ac:dyDescent="0.25">
      <c r="A156" s="30"/>
      <c r="Q156" s="12"/>
      <c r="R156" s="30"/>
      <c r="S156" s="30"/>
      <c r="T156" s="30"/>
      <c r="U156" s="30"/>
      <c r="AL156" t="s">
        <v>19</v>
      </c>
      <c r="AM156" t="s">
        <v>19</v>
      </c>
      <c r="AN156" t="s">
        <v>19</v>
      </c>
      <c r="AO156" t="s">
        <v>19</v>
      </c>
    </row>
    <row r="157" spans="1:68" ht="18.75" x14ac:dyDescent="0.25">
      <c r="A157" s="30"/>
      <c r="Q157" s="12"/>
      <c r="R157" s="10" t="s">
        <v>166</v>
      </c>
      <c r="AL157" s="10" t="s">
        <v>166</v>
      </c>
      <c r="AM157" s="8"/>
      <c r="AN157" s="8"/>
      <c r="AO157" s="8"/>
    </row>
    <row r="158" spans="1:68" x14ac:dyDescent="0.25">
      <c r="A158" s="30"/>
      <c r="Q158" s="12"/>
      <c r="R158" s="15" t="s">
        <v>99</v>
      </c>
      <c r="S158" s="15" t="s">
        <v>100</v>
      </c>
      <c r="T158" s="15" t="s">
        <v>101</v>
      </c>
      <c r="U158" s="15" t="s">
        <v>102</v>
      </c>
      <c r="AL158" s="15" t="s">
        <v>99</v>
      </c>
      <c r="AM158" s="15" t="s">
        <v>100</v>
      </c>
      <c r="AN158" s="15" t="s">
        <v>101</v>
      </c>
      <c r="AO158" s="15" t="s">
        <v>102</v>
      </c>
      <c r="AQ158" t="s">
        <v>237</v>
      </c>
      <c r="AS158" t="s">
        <v>232</v>
      </c>
      <c r="AX158" t="s">
        <v>233</v>
      </c>
      <c r="BC158" t="s">
        <v>234</v>
      </c>
      <c r="BH158" t="s">
        <v>235</v>
      </c>
      <c r="BM158" t="s">
        <v>236</v>
      </c>
    </row>
    <row r="159" spans="1:68" x14ac:dyDescent="0.25">
      <c r="A159" s="30"/>
      <c r="Q159" s="12"/>
      <c r="R159" s="63" t="str">
        <f t="shared" ref="R159:R178" si="155">IFERROR(VLOOKUP(BM159,$E$2:$G$22,3,0),0)</f>
        <v>Deutsch</v>
      </c>
      <c r="S159" s="63" t="str">
        <f t="shared" ref="S159:S178" si="156">IFERROR(VLOOKUP(BN159,$E$2:$G$22,3,0),0)</f>
        <v>Deutsch</v>
      </c>
      <c r="T159" s="63" t="str">
        <f t="shared" ref="T159:T178" si="157">IFERROR(VLOOKUP(BO159,$E$2:$G$22,3,0),0)</f>
        <v>Deutsch</v>
      </c>
      <c r="U159" s="63" t="str">
        <f t="shared" ref="U159:U178" si="158">IFERROR(VLOOKUP(BP159,$E$2:$G$22,3,0),0)</f>
        <v>Deutsch</v>
      </c>
      <c r="W159" s="11"/>
      <c r="X159" s="11"/>
      <c r="Y159" s="11"/>
      <c r="Z159" s="17"/>
      <c r="AA159" s="17">
        <v>1</v>
      </c>
      <c r="AB159" s="17">
        <v>2</v>
      </c>
      <c r="AC159" s="17">
        <v>3</v>
      </c>
      <c r="AD159" s="17">
        <v>4</v>
      </c>
      <c r="AE159" s="17"/>
      <c r="AF159" s="17">
        <v>1</v>
      </c>
      <c r="AG159" s="17">
        <v>2</v>
      </c>
      <c r="AH159" s="17">
        <v>3</v>
      </c>
      <c r="AI159" s="17">
        <v>4</v>
      </c>
      <c r="AL159" s="14" t="s">
        <v>45</v>
      </c>
      <c r="AM159" s="14" t="s">
        <v>45</v>
      </c>
      <c r="AN159" s="14" t="s">
        <v>45</v>
      </c>
      <c r="AO159" s="14" t="s">
        <v>45</v>
      </c>
      <c r="AQ159" s="60">
        <v>1</v>
      </c>
      <c r="AS159" s="62" t="str">
        <f>IF(AL159="","",IF(OR(AL159="Fr",AL159="La",AL159="Sn"),IF(AL159&lt;&gt;IFERROR(VLOOKUP(Wahlbogen!$B$6,F!$A$2:$C$22,3,0),"Sp"),"",AL159),AL159))</f>
        <v>De</v>
      </c>
      <c r="AT159" s="62" t="str">
        <f>IF(AM159="","",IF(OR(AM159="Fr",AM159="La",AM159="Sn"),IF(AM159&lt;&gt;IFERROR(VLOOKUP(Wahlbogen!$B$6,F!$A$2:$C$22,3,0),"Sp"),"",AM159),AM159))</f>
        <v>De</v>
      </c>
      <c r="AU159" s="62" t="str">
        <f>IF(AN159="","",IF(OR(AN159="Fr",AN159="La",AN159="Sn"),IF(AN159&lt;&gt;IFERROR(VLOOKUP(Wahlbogen!$B$6,F!$A$2:$C$22,3,0),"Sp"),"",AN159),AN159))</f>
        <v>De</v>
      </c>
      <c r="AV159" s="62" t="str">
        <f>IF(AO159="","",IF(OR(AO159="Fr",AO159="La",AO159="Sn"),IF(AO159&lt;&gt;IFERROR(VLOOKUP(Wahlbogen!$B$6,F!$A$2:$C$22,3,0),"Sp"),"",AO159),AO159))</f>
        <v>De</v>
      </c>
      <c r="AX159" s="62">
        <f t="shared" ref="AX159:AX178" si="159">IFERROR(VLOOKUP(AS159,$C$2:$H$22,6,0),"")</f>
        <v>1</v>
      </c>
      <c r="AY159" s="62">
        <f t="shared" ref="AY159" si="160">IFERROR(VLOOKUP(AT159,$C$2:$H$22,6,0),"")</f>
        <v>1</v>
      </c>
      <c r="AZ159" s="62">
        <f t="shared" ref="AZ159" si="161">IFERROR(VLOOKUP(AU159,$C$2:$H$22,6,0),"")</f>
        <v>1</v>
      </c>
      <c r="BA159" s="62">
        <f t="shared" ref="BA159" si="162">IFERROR(VLOOKUP(AV159,$C$2:$H$22,6,0),"")</f>
        <v>1</v>
      </c>
      <c r="BC159" s="62">
        <f t="shared" ref="BC159:BC178" si="163">IFERROR(RANK(AX159,AX$159:AX$178,1),"")</f>
        <v>1</v>
      </c>
      <c r="BD159" s="62">
        <f t="shared" ref="BD159:BF159" si="164">IFERROR(RANK(AY159,AY$159:AY$178,1),"")</f>
        <v>1</v>
      </c>
      <c r="BE159" s="62">
        <f t="shared" si="164"/>
        <v>1</v>
      </c>
      <c r="BF159" s="62">
        <f t="shared" si="164"/>
        <v>1</v>
      </c>
      <c r="BH159" s="62" t="str">
        <f>AS159</f>
        <v>De</v>
      </c>
      <c r="BI159" s="62" t="str">
        <f t="shared" ref="BI159" si="165">AT159</f>
        <v>De</v>
      </c>
      <c r="BJ159" s="62" t="str">
        <f t="shared" ref="BJ159" si="166">AU159</f>
        <v>De</v>
      </c>
      <c r="BK159" s="62" t="str">
        <f t="shared" ref="BK159" si="167">AV159</f>
        <v>De</v>
      </c>
      <c r="BM159" s="62" t="str">
        <f>IFERROR(VLOOKUP($AQ159,BC$159:BH$178,6,0),"")</f>
        <v>De</v>
      </c>
      <c r="BN159" s="62" t="str">
        <f t="shared" ref="BN159:BP159" si="168">IFERROR(VLOOKUP($AQ159,BD$159:BI$178,6,0),"")</f>
        <v>De</v>
      </c>
      <c r="BO159" s="62" t="str">
        <f t="shared" si="168"/>
        <v>De</v>
      </c>
      <c r="BP159" s="62" t="str">
        <f t="shared" si="168"/>
        <v>De</v>
      </c>
    </row>
    <row r="160" spans="1:68" x14ac:dyDescent="0.25">
      <c r="A160" s="30"/>
      <c r="Q160" s="12"/>
      <c r="R160" s="63" t="str">
        <f t="shared" si="155"/>
        <v>Englisch</v>
      </c>
      <c r="S160" s="63" t="str">
        <f t="shared" si="156"/>
        <v>Englisch</v>
      </c>
      <c r="T160" s="63" t="str">
        <f t="shared" si="157"/>
        <v>Englisch</v>
      </c>
      <c r="U160" s="63" t="str">
        <f t="shared" si="158"/>
        <v>Englisch</v>
      </c>
      <c r="W160" s="11"/>
      <c r="X160" s="11"/>
      <c r="Y160" s="11"/>
      <c r="Z160" s="17"/>
      <c r="AA160" s="17" t="s">
        <v>119</v>
      </c>
      <c r="AB160" s="17" t="s">
        <v>120</v>
      </c>
      <c r="AC160" s="17" t="s">
        <v>121</v>
      </c>
      <c r="AD160" s="17" t="s">
        <v>122</v>
      </c>
      <c r="AE160" s="17"/>
      <c r="AF160" s="17" t="s">
        <v>119</v>
      </c>
      <c r="AG160" s="17" t="s">
        <v>120</v>
      </c>
      <c r="AH160" s="17" t="s">
        <v>121</v>
      </c>
      <c r="AI160" s="17" t="s">
        <v>122</v>
      </c>
      <c r="AL160" s="14" t="s">
        <v>46</v>
      </c>
      <c r="AM160" s="14" t="s">
        <v>46</v>
      </c>
      <c r="AN160" s="14" t="s">
        <v>46</v>
      </c>
      <c r="AO160" s="14" t="s">
        <v>46</v>
      </c>
      <c r="AQ160" s="60">
        <v>2</v>
      </c>
      <c r="AS160" s="62" t="str">
        <f>IF(AL160="","",IF(OR(AL160="Fr",AL160="La",AL160="Sn"),IF(AL160&lt;&gt;IFERROR(VLOOKUP(Wahlbogen!$B$6,F!$A$2:$C$22,3,0),"Sp"),"",AL160),AL160))</f>
        <v>En</v>
      </c>
      <c r="AT160" s="62" t="str">
        <f>IF(AM160="","",IF(OR(AM160="Fr",AM160="La",AM160="Sn"),IF(AM160&lt;&gt;IFERROR(VLOOKUP(Wahlbogen!$B$6,F!$A$2:$C$22,3,0),"Sp"),"",AM160),AM160))</f>
        <v>En</v>
      </c>
      <c r="AU160" s="62" t="str">
        <f>IF(AN160="","",IF(OR(AN160="Fr",AN160="La",AN160="Sn"),IF(AN160&lt;&gt;IFERROR(VLOOKUP(Wahlbogen!$B$6,F!$A$2:$C$22,3,0),"Sp"),"",AN160),AN160))</f>
        <v>En</v>
      </c>
      <c r="AV160" s="62" t="str">
        <f>IF(AO160="","",IF(OR(AO160="Fr",AO160="La",AO160="Sn"),IF(AO160&lt;&gt;IFERROR(VLOOKUP(Wahlbogen!$B$6,F!$A$2:$C$22,3,0),"Sp"),"",AO160),AO160))</f>
        <v>En</v>
      </c>
      <c r="AX160" s="62">
        <f t="shared" si="159"/>
        <v>2</v>
      </c>
      <c r="AY160" s="62">
        <f t="shared" ref="AY160:AY178" si="169">IFERROR(VLOOKUP(AT160,$C$2:$H$22,6,0),"")</f>
        <v>2</v>
      </c>
      <c r="AZ160" s="62">
        <f t="shared" ref="AZ160:AZ178" si="170">IFERROR(VLOOKUP(AU160,$C$2:$H$22,6,0),"")</f>
        <v>2</v>
      </c>
      <c r="BA160" s="62">
        <f t="shared" ref="BA160:BA178" si="171">IFERROR(VLOOKUP(AV160,$C$2:$H$22,6,0),"")</f>
        <v>2</v>
      </c>
      <c r="BC160" s="62">
        <f t="shared" si="163"/>
        <v>2</v>
      </c>
      <c r="BD160" s="62">
        <f t="shared" ref="BD160:BD178" si="172">IFERROR(RANK(AY160,AY$159:AY$178,1),"")</f>
        <v>2</v>
      </c>
      <c r="BE160" s="62">
        <f t="shared" ref="BE160:BE178" si="173">IFERROR(RANK(AZ160,AZ$159:AZ$178,1),"")</f>
        <v>2</v>
      </c>
      <c r="BF160" s="62">
        <f t="shared" ref="BF160:BF178" si="174">IFERROR(RANK(BA160,BA$159:BA$178,1),"")</f>
        <v>2</v>
      </c>
      <c r="BH160" s="62" t="str">
        <f t="shared" ref="BH160:BH178" si="175">AS160</f>
        <v>En</v>
      </c>
      <c r="BI160" s="62" t="str">
        <f t="shared" ref="BI160:BI178" si="176">AT160</f>
        <v>En</v>
      </c>
      <c r="BJ160" s="62" t="str">
        <f t="shared" ref="BJ160:BJ178" si="177">AU160</f>
        <v>En</v>
      </c>
      <c r="BK160" s="62" t="str">
        <f t="shared" ref="BK160:BK178" si="178">AV160</f>
        <v>En</v>
      </c>
      <c r="BM160" s="62" t="str">
        <f t="shared" ref="BM160:BM178" si="179">IFERROR(VLOOKUP($AQ160,BC$159:BH$178,6,0),"")</f>
        <v>En</v>
      </c>
      <c r="BN160" s="62" t="str">
        <f t="shared" ref="BN160:BN178" si="180">IFERROR(VLOOKUP($AQ160,BD$159:BI$178,6,0),"")</f>
        <v>En</v>
      </c>
      <c r="BO160" s="62" t="str">
        <f t="shared" ref="BO160:BO178" si="181">IFERROR(VLOOKUP($AQ160,BE$159:BJ$178,6,0),"")</f>
        <v>En</v>
      </c>
      <c r="BP160" s="62" t="str">
        <f t="shared" ref="BP160:BP178" si="182">IFERROR(VLOOKUP($AQ160,BF$159:BK$178,6,0),"")</f>
        <v>En</v>
      </c>
    </row>
    <row r="161" spans="1:68" x14ac:dyDescent="0.25">
      <c r="A161" s="30"/>
      <c r="Q161" s="12"/>
      <c r="R161" s="63" t="str">
        <f t="shared" si="155"/>
        <v>Mathematik</v>
      </c>
      <c r="S161" s="63" t="str">
        <f t="shared" si="156"/>
        <v>Mathematik</v>
      </c>
      <c r="T161" s="63" t="str">
        <f t="shared" si="157"/>
        <v>Mathematik</v>
      </c>
      <c r="U161" s="63" t="str">
        <f t="shared" si="158"/>
        <v>Mathematik</v>
      </c>
      <c r="W161" s="11"/>
      <c r="X161" s="11"/>
      <c r="Y161" s="11"/>
      <c r="Z161" s="17" t="s">
        <v>163</v>
      </c>
      <c r="AA161" s="17">
        <f>ROW()-2</f>
        <v>159</v>
      </c>
      <c r="AB161" s="17">
        <f>AA161</f>
        <v>159</v>
      </c>
      <c r="AC161" s="17">
        <f>AB161</f>
        <v>159</v>
      </c>
      <c r="AD161" s="17">
        <f>AC161</f>
        <v>159</v>
      </c>
      <c r="AE161" s="17" t="s">
        <v>163</v>
      </c>
      <c r="AF161" s="17">
        <f>MATCH("",R158:R187,-1)+ROW()-4</f>
        <v>164</v>
      </c>
      <c r="AG161" s="17">
        <f>MATCH("",S158:S187,-1)+ROW()-4</f>
        <v>164</v>
      </c>
      <c r="AH161" s="17">
        <f>MATCH("",T158:T187,-1)+ROW()-4</f>
        <v>164</v>
      </c>
      <c r="AI161" s="17">
        <f>MATCH("",U158:U187,-1)+ROW()-4</f>
        <v>164</v>
      </c>
      <c r="AL161" s="14" t="s">
        <v>49</v>
      </c>
      <c r="AM161" s="14" t="s">
        <v>49</v>
      </c>
      <c r="AN161" s="14" t="s">
        <v>49</v>
      </c>
      <c r="AO161" s="14" t="s">
        <v>49</v>
      </c>
      <c r="AQ161" s="60">
        <v>3</v>
      </c>
      <c r="AS161" s="62" t="str">
        <f>IF(AL161="","",IF(OR(AL161="Fr",AL161="La",AL161="Sn"),IF(AL161&lt;&gt;IFERROR(VLOOKUP(Wahlbogen!$B$6,F!$A$2:$C$22,3,0),"Sp"),"",AL161),AL161))</f>
        <v/>
      </c>
      <c r="AT161" s="62" t="str">
        <f>IF(AM161="","",IF(OR(AM161="Fr",AM161="La",AM161="Sn"),IF(AM161&lt;&gt;IFERROR(VLOOKUP(Wahlbogen!$B$6,F!$A$2:$C$22,3,0),"Sp"),"",AM161),AM161))</f>
        <v/>
      </c>
      <c r="AU161" s="62" t="str">
        <f>IF(AN161="","",IF(OR(AN161="Fr",AN161="La",AN161="Sn"),IF(AN161&lt;&gt;IFERROR(VLOOKUP(Wahlbogen!$B$6,F!$A$2:$C$22,3,0),"Sp"),"",AN161),AN161))</f>
        <v/>
      </c>
      <c r="AV161" s="62" t="str">
        <f>IF(AO161="","",IF(OR(AO161="Fr",AO161="La",AO161="Sn"),IF(AO161&lt;&gt;IFERROR(VLOOKUP(Wahlbogen!$B$6,F!$A$2:$C$22,3,0),"Sp"),"",AO161),AO161))</f>
        <v/>
      </c>
      <c r="AX161" s="62" t="str">
        <f t="shared" si="159"/>
        <v/>
      </c>
      <c r="AY161" s="62" t="str">
        <f t="shared" si="169"/>
        <v/>
      </c>
      <c r="AZ161" s="62" t="str">
        <f t="shared" si="170"/>
        <v/>
      </c>
      <c r="BA161" s="62" t="str">
        <f t="shared" si="171"/>
        <v/>
      </c>
      <c r="BC161" s="62" t="str">
        <f t="shared" si="163"/>
        <v/>
      </c>
      <c r="BD161" s="62" t="str">
        <f t="shared" si="172"/>
        <v/>
      </c>
      <c r="BE161" s="62" t="str">
        <f t="shared" si="173"/>
        <v/>
      </c>
      <c r="BF161" s="62" t="str">
        <f t="shared" si="174"/>
        <v/>
      </c>
      <c r="BH161" s="62" t="str">
        <f t="shared" si="175"/>
        <v/>
      </c>
      <c r="BI161" s="62" t="str">
        <f t="shared" si="176"/>
        <v/>
      </c>
      <c r="BJ161" s="62" t="str">
        <f t="shared" si="177"/>
        <v/>
      </c>
      <c r="BK161" s="62" t="str">
        <f t="shared" si="178"/>
        <v/>
      </c>
      <c r="BM161" s="62" t="str">
        <f t="shared" si="179"/>
        <v>Ma</v>
      </c>
      <c r="BN161" s="62" t="str">
        <f t="shared" si="180"/>
        <v>Ma</v>
      </c>
      <c r="BO161" s="62" t="str">
        <f t="shared" si="181"/>
        <v>Ma</v>
      </c>
      <c r="BP161" s="62" t="str">
        <f t="shared" si="182"/>
        <v>Ma</v>
      </c>
    </row>
    <row r="162" spans="1:68" x14ac:dyDescent="0.25">
      <c r="A162" s="30"/>
      <c r="Q162" s="12"/>
      <c r="R162" s="63" t="str">
        <f t="shared" si="155"/>
        <v>Biologie</v>
      </c>
      <c r="S162" s="63" t="str">
        <f t="shared" si="156"/>
        <v>Biologie</v>
      </c>
      <c r="T162" s="63" t="str">
        <f t="shared" si="157"/>
        <v>Biologie</v>
      </c>
      <c r="U162" s="63" t="str">
        <f t="shared" si="158"/>
        <v>Biologie</v>
      </c>
      <c r="W162" s="11"/>
      <c r="X162" s="11"/>
      <c r="Y162" s="11"/>
      <c r="AL162" s="14" t="s">
        <v>54</v>
      </c>
      <c r="AM162" s="14" t="s">
        <v>54</v>
      </c>
      <c r="AN162" s="14" t="s">
        <v>54</v>
      </c>
      <c r="AO162" s="14" t="s">
        <v>54</v>
      </c>
      <c r="AQ162" s="60">
        <v>4</v>
      </c>
      <c r="AS162" s="62" t="str">
        <f>IF(AL162="","",IF(OR(AL162="Fr",AL162="La",AL162="Sn"),IF(AL162&lt;&gt;IFERROR(VLOOKUP(Wahlbogen!$B$6,F!$A$2:$C$22,3,0),"Sp"),"",AL162),AL162))</f>
        <v/>
      </c>
      <c r="AT162" s="62" t="str">
        <f>IF(AM162="","",IF(OR(AM162="Fr",AM162="La",AM162="Sn"),IF(AM162&lt;&gt;IFERROR(VLOOKUP(Wahlbogen!$B$6,F!$A$2:$C$22,3,0),"Sp"),"",AM162),AM162))</f>
        <v/>
      </c>
      <c r="AU162" s="62" t="str">
        <f>IF(AN162="","",IF(OR(AN162="Fr",AN162="La",AN162="Sn"),IF(AN162&lt;&gt;IFERROR(VLOOKUP(Wahlbogen!$B$6,F!$A$2:$C$22,3,0),"Sp"),"",AN162),AN162))</f>
        <v/>
      </c>
      <c r="AV162" s="62" t="str">
        <f>IF(AO162="","",IF(OR(AO162="Fr",AO162="La",AO162="Sn"),IF(AO162&lt;&gt;IFERROR(VLOOKUP(Wahlbogen!$B$6,F!$A$2:$C$22,3,0),"Sp"),"",AO162),AO162))</f>
        <v/>
      </c>
      <c r="AX162" s="62" t="str">
        <f t="shared" si="159"/>
        <v/>
      </c>
      <c r="AY162" s="62" t="str">
        <f t="shared" si="169"/>
        <v/>
      </c>
      <c r="AZ162" s="62" t="str">
        <f t="shared" si="170"/>
        <v/>
      </c>
      <c r="BA162" s="62" t="str">
        <f t="shared" si="171"/>
        <v/>
      </c>
      <c r="BC162" s="62" t="str">
        <f t="shared" si="163"/>
        <v/>
      </c>
      <c r="BD162" s="62" t="str">
        <f t="shared" si="172"/>
        <v/>
      </c>
      <c r="BE162" s="62" t="str">
        <f t="shared" si="173"/>
        <v/>
      </c>
      <c r="BF162" s="62" t="str">
        <f t="shared" si="174"/>
        <v/>
      </c>
      <c r="BH162" s="62" t="str">
        <f t="shared" si="175"/>
        <v/>
      </c>
      <c r="BI162" s="62" t="str">
        <f t="shared" si="176"/>
        <v/>
      </c>
      <c r="BJ162" s="62" t="str">
        <f t="shared" si="177"/>
        <v/>
      </c>
      <c r="BK162" s="62" t="str">
        <f t="shared" si="178"/>
        <v/>
      </c>
      <c r="BM162" s="62" t="str">
        <f t="shared" si="179"/>
        <v>Bi</v>
      </c>
      <c r="BN162" s="62" t="str">
        <f t="shared" si="180"/>
        <v>Bi</v>
      </c>
      <c r="BO162" s="62" t="str">
        <f t="shared" si="181"/>
        <v>Bi</v>
      </c>
      <c r="BP162" s="62" t="str">
        <f t="shared" si="182"/>
        <v>Bi</v>
      </c>
    </row>
    <row r="163" spans="1:68" x14ac:dyDescent="0.25">
      <c r="A163" s="30"/>
      <c r="Q163" s="12"/>
      <c r="R163" s="63" t="str">
        <f t="shared" si="155"/>
        <v>Chemie</v>
      </c>
      <c r="S163" s="63" t="str">
        <f t="shared" si="156"/>
        <v>Chemie</v>
      </c>
      <c r="T163" s="63" t="str">
        <f t="shared" si="157"/>
        <v>Chemie</v>
      </c>
      <c r="U163" s="63" t="str">
        <f t="shared" si="158"/>
        <v>Chemie</v>
      </c>
      <c r="V163" s="11" t="str">
        <f t="shared" ref="V163:V164" si="183">IF(AND(R163="",R164="",R165=""),ROW(),"")</f>
        <v/>
      </c>
      <c r="W163" s="11" t="str">
        <f t="shared" ref="W163:W164" si="184">IF(AND(S163="",S164="",S165=""),ROW(),"")</f>
        <v/>
      </c>
      <c r="X163" s="11" t="str">
        <f t="shared" ref="X163:X164" si="185">IF(AND(T163="",T164="",T165=""),ROW(),"")</f>
        <v/>
      </c>
      <c r="Y163" s="11" t="str">
        <f t="shared" ref="Y163:Y164" si="186">IF(AND(U163="",U164="",U165=""),ROW(),"")</f>
        <v/>
      </c>
      <c r="AL163" s="14" t="s">
        <v>59</v>
      </c>
      <c r="AM163" s="14" t="s">
        <v>59</v>
      </c>
      <c r="AN163" s="14" t="s">
        <v>59</v>
      </c>
      <c r="AO163" s="14" t="s">
        <v>59</v>
      </c>
      <c r="AQ163" s="60">
        <v>5</v>
      </c>
      <c r="AS163" s="62" t="str">
        <f>IF(AL163="","",IF(OR(AL163="Fr",AL163="La",AL163="Sn"),IF(AL163&lt;&gt;IFERROR(VLOOKUP(Wahlbogen!$B$6,F!$A$2:$C$22,3,0),"Sp"),"",AL163),AL163))</f>
        <v/>
      </c>
      <c r="AT163" s="62" t="str">
        <f>IF(AM163="","",IF(OR(AM163="Fr",AM163="La",AM163="Sn"),IF(AM163&lt;&gt;IFERROR(VLOOKUP(Wahlbogen!$B$6,F!$A$2:$C$22,3,0),"Sp"),"",AM163),AM163))</f>
        <v/>
      </c>
      <c r="AU163" s="62" t="str">
        <f>IF(AN163="","",IF(OR(AN163="Fr",AN163="La",AN163="Sn"),IF(AN163&lt;&gt;IFERROR(VLOOKUP(Wahlbogen!$B$6,F!$A$2:$C$22,3,0),"Sp"),"",AN163),AN163))</f>
        <v/>
      </c>
      <c r="AV163" s="62" t="str">
        <f>IF(AO163="","",IF(OR(AO163="Fr",AO163="La",AO163="Sn"),IF(AO163&lt;&gt;IFERROR(VLOOKUP(Wahlbogen!$B$6,F!$A$2:$C$22,3,0),"Sp"),"",AO163),AO163))</f>
        <v/>
      </c>
      <c r="AX163" s="62" t="str">
        <f t="shared" si="159"/>
        <v/>
      </c>
      <c r="AY163" s="62" t="str">
        <f t="shared" si="169"/>
        <v/>
      </c>
      <c r="AZ163" s="62" t="str">
        <f t="shared" si="170"/>
        <v/>
      </c>
      <c r="BA163" s="62" t="str">
        <f t="shared" si="171"/>
        <v/>
      </c>
      <c r="BC163" s="62" t="str">
        <f t="shared" si="163"/>
        <v/>
      </c>
      <c r="BD163" s="62" t="str">
        <f t="shared" si="172"/>
        <v/>
      </c>
      <c r="BE163" s="62" t="str">
        <f t="shared" si="173"/>
        <v/>
      </c>
      <c r="BF163" s="62" t="str">
        <f t="shared" si="174"/>
        <v/>
      </c>
      <c r="BH163" s="62" t="str">
        <f t="shared" si="175"/>
        <v/>
      </c>
      <c r="BI163" s="62" t="str">
        <f t="shared" si="176"/>
        <v/>
      </c>
      <c r="BJ163" s="62" t="str">
        <f t="shared" si="177"/>
        <v/>
      </c>
      <c r="BK163" s="62" t="str">
        <f t="shared" si="178"/>
        <v/>
      </c>
      <c r="BM163" s="62" t="str">
        <f t="shared" si="179"/>
        <v>Ch</v>
      </c>
      <c r="BN163" s="62" t="str">
        <f t="shared" si="180"/>
        <v>Ch</v>
      </c>
      <c r="BO163" s="62" t="str">
        <f t="shared" si="181"/>
        <v>Ch</v>
      </c>
      <c r="BP163" s="62" t="str">
        <f t="shared" si="182"/>
        <v>Ch</v>
      </c>
    </row>
    <row r="164" spans="1:68" x14ac:dyDescent="0.25">
      <c r="A164" s="30"/>
      <c r="Q164" s="12"/>
      <c r="R164" s="63" t="str">
        <f t="shared" si="155"/>
        <v>Physik</v>
      </c>
      <c r="S164" s="63" t="str">
        <f t="shared" si="156"/>
        <v>Physik</v>
      </c>
      <c r="T164" s="63" t="str">
        <f t="shared" si="157"/>
        <v>Physik</v>
      </c>
      <c r="U164" s="63" t="str">
        <f t="shared" si="158"/>
        <v>Physik</v>
      </c>
      <c r="V164" s="11" t="str">
        <f t="shared" si="183"/>
        <v/>
      </c>
      <c r="W164" s="11" t="str">
        <f t="shared" si="184"/>
        <v/>
      </c>
      <c r="X164" s="11" t="str">
        <f t="shared" si="185"/>
        <v/>
      </c>
      <c r="Y164" s="11" t="str">
        <f t="shared" si="186"/>
        <v/>
      </c>
      <c r="AL164" s="14"/>
      <c r="AM164" s="14"/>
      <c r="AN164" s="14"/>
      <c r="AO164" s="14"/>
      <c r="AQ164" s="60">
        <v>6</v>
      </c>
      <c r="AS164" s="62" t="str">
        <f>IF(AL164="","",IF(OR(AL164="Fr",AL164="La",AL164="Sn"),IF(AL164&lt;&gt;IFERROR(VLOOKUP(Wahlbogen!$B$6,F!$A$2:$C$22,3,0),"Sp"),"",AL164),AL164))</f>
        <v/>
      </c>
      <c r="AT164" s="62" t="str">
        <f>IF(AM164="","",IF(OR(AM164="Fr",AM164="La",AM164="Sn"),IF(AM164&lt;&gt;IFERROR(VLOOKUP(Wahlbogen!$B$6,F!$A$2:$C$22,3,0),"Sp"),"",AM164),AM164))</f>
        <v/>
      </c>
      <c r="AU164" s="62" t="str">
        <f>IF(AN164="","",IF(OR(AN164="Fr",AN164="La",AN164="Sn"),IF(AN164&lt;&gt;IFERROR(VLOOKUP(Wahlbogen!$B$6,F!$A$2:$C$22,3,0),"Sp"),"",AN164),AN164))</f>
        <v/>
      </c>
      <c r="AV164" s="62" t="str">
        <f>IF(AO164="","",IF(OR(AO164="Fr",AO164="La",AO164="Sn"),IF(AO164&lt;&gt;IFERROR(VLOOKUP(Wahlbogen!$B$6,F!$A$2:$C$22,3,0),"Sp"),"",AO164),AO164))</f>
        <v/>
      </c>
      <c r="AX164" s="62" t="str">
        <f t="shared" si="159"/>
        <v/>
      </c>
      <c r="AY164" s="62" t="str">
        <f t="shared" si="169"/>
        <v/>
      </c>
      <c r="AZ164" s="62" t="str">
        <f t="shared" si="170"/>
        <v/>
      </c>
      <c r="BA164" s="62" t="str">
        <f t="shared" si="171"/>
        <v/>
      </c>
      <c r="BC164" s="62" t="str">
        <f t="shared" si="163"/>
        <v/>
      </c>
      <c r="BD164" s="62" t="str">
        <f t="shared" si="172"/>
        <v/>
      </c>
      <c r="BE164" s="62" t="str">
        <f t="shared" si="173"/>
        <v/>
      </c>
      <c r="BF164" s="62" t="str">
        <f t="shared" si="174"/>
        <v/>
      </c>
      <c r="BH164" s="62" t="str">
        <f t="shared" si="175"/>
        <v/>
      </c>
      <c r="BI164" s="62" t="str">
        <f t="shared" si="176"/>
        <v/>
      </c>
      <c r="BJ164" s="62" t="str">
        <f t="shared" si="177"/>
        <v/>
      </c>
      <c r="BK164" s="62" t="str">
        <f t="shared" si="178"/>
        <v/>
      </c>
      <c r="BM164" s="62" t="str">
        <f t="shared" si="179"/>
        <v>Ph</v>
      </c>
      <c r="BN164" s="62" t="str">
        <f t="shared" si="180"/>
        <v>Ph</v>
      </c>
      <c r="BO164" s="62" t="str">
        <f t="shared" si="181"/>
        <v>Ph</v>
      </c>
      <c r="BP164" s="62" t="str">
        <f t="shared" si="182"/>
        <v>Ph</v>
      </c>
    </row>
    <row r="165" spans="1:68" x14ac:dyDescent="0.25">
      <c r="A165" s="30"/>
      <c r="Q165" s="12"/>
      <c r="R165" s="63">
        <f t="shared" si="155"/>
        <v>0</v>
      </c>
      <c r="S165" s="63">
        <f t="shared" si="156"/>
        <v>0</v>
      </c>
      <c r="T165" s="63">
        <f t="shared" si="157"/>
        <v>0</v>
      </c>
      <c r="U165" s="63">
        <f t="shared" si="158"/>
        <v>0</v>
      </c>
      <c r="W165" s="11"/>
      <c r="X165" s="11"/>
      <c r="Y165" s="11"/>
      <c r="AB165" s="18" t="s">
        <v>123</v>
      </c>
      <c r="AL165" s="14"/>
      <c r="AM165" s="14"/>
      <c r="AN165" s="14"/>
      <c r="AO165" s="14"/>
      <c r="AQ165" s="60">
        <v>7</v>
      </c>
      <c r="AS165" s="62" t="str">
        <f>IF(AL165="","",IF(OR(AL165="Fr",AL165="La",AL165="Sn"),IF(AL165&lt;&gt;IFERROR(VLOOKUP(Wahlbogen!$B$6,F!$A$2:$C$22,3,0),"Sp"),"",AL165),AL165))</f>
        <v/>
      </c>
      <c r="AT165" s="62" t="str">
        <f>IF(AM165="","",IF(OR(AM165="Fr",AM165="La",AM165="Sn"),IF(AM165&lt;&gt;IFERROR(VLOOKUP(Wahlbogen!$B$6,F!$A$2:$C$22,3,0),"Sp"),"",AM165),AM165))</f>
        <v/>
      </c>
      <c r="AU165" s="62" t="str">
        <f>IF(AN165="","",IF(OR(AN165="Fr",AN165="La",AN165="Sn"),IF(AN165&lt;&gt;IFERROR(VLOOKUP(Wahlbogen!$B$6,F!$A$2:$C$22,3,0),"Sp"),"",AN165),AN165))</f>
        <v/>
      </c>
      <c r="AV165" s="62" t="str">
        <f>IF(AO165="","",IF(OR(AO165="Fr",AO165="La",AO165="Sn"),IF(AO165&lt;&gt;IFERROR(VLOOKUP(Wahlbogen!$B$6,F!$A$2:$C$22,3,0),"Sp"),"",AO165),AO165))</f>
        <v/>
      </c>
      <c r="AX165" s="62" t="str">
        <f t="shared" si="159"/>
        <v/>
      </c>
      <c r="AY165" s="62" t="str">
        <f t="shared" si="169"/>
        <v/>
      </c>
      <c r="AZ165" s="62" t="str">
        <f t="shared" si="170"/>
        <v/>
      </c>
      <c r="BA165" s="62" t="str">
        <f t="shared" si="171"/>
        <v/>
      </c>
      <c r="BC165" s="62" t="str">
        <f t="shared" si="163"/>
        <v/>
      </c>
      <c r="BD165" s="62" t="str">
        <f t="shared" si="172"/>
        <v/>
      </c>
      <c r="BE165" s="62" t="str">
        <f t="shared" si="173"/>
        <v/>
      </c>
      <c r="BF165" s="62" t="str">
        <f t="shared" si="174"/>
        <v/>
      </c>
      <c r="BH165" s="62" t="str">
        <f t="shared" si="175"/>
        <v/>
      </c>
      <c r="BI165" s="62" t="str">
        <f t="shared" si="176"/>
        <v/>
      </c>
      <c r="BJ165" s="62" t="str">
        <f t="shared" si="177"/>
        <v/>
      </c>
      <c r="BK165" s="62" t="str">
        <f t="shared" si="178"/>
        <v/>
      </c>
      <c r="BM165" s="62" t="str">
        <f t="shared" si="179"/>
        <v/>
      </c>
      <c r="BN165" s="62" t="str">
        <f t="shared" si="180"/>
        <v/>
      </c>
      <c r="BO165" s="62" t="str">
        <f t="shared" si="181"/>
        <v/>
      </c>
      <c r="BP165" s="62" t="str">
        <f t="shared" si="182"/>
        <v/>
      </c>
    </row>
    <row r="166" spans="1:68" x14ac:dyDescent="0.25">
      <c r="A166" s="30"/>
      <c r="Q166" s="12"/>
      <c r="R166" s="63">
        <f t="shared" si="155"/>
        <v>0</v>
      </c>
      <c r="S166" s="63">
        <f t="shared" si="156"/>
        <v>0</v>
      </c>
      <c r="T166" s="63">
        <f t="shared" si="157"/>
        <v>0</v>
      </c>
      <c r="U166" s="63">
        <f t="shared" si="158"/>
        <v>0</v>
      </c>
      <c r="W166" s="11"/>
      <c r="X166" s="11"/>
      <c r="Y166" s="11"/>
      <c r="AB166" s="18" t="s">
        <v>124</v>
      </c>
      <c r="AL166" s="14"/>
      <c r="AM166" s="14"/>
      <c r="AN166" s="14"/>
      <c r="AO166" s="14"/>
      <c r="AQ166" s="60">
        <v>8</v>
      </c>
      <c r="AS166" s="62" t="str">
        <f>IF(AL166="","",IF(OR(AL166="Fr",AL166="La",AL166="Sn"),IF(AL166&lt;&gt;IFERROR(VLOOKUP(Wahlbogen!$B$6,F!$A$2:$C$22,3,0),"Sp"),"",AL166),AL166))</f>
        <v/>
      </c>
      <c r="AT166" s="62" t="str">
        <f>IF(AM166="","",IF(OR(AM166="Fr",AM166="La",AM166="Sn"),IF(AM166&lt;&gt;IFERROR(VLOOKUP(Wahlbogen!$B$6,F!$A$2:$C$22,3,0),"Sp"),"",AM166),AM166))</f>
        <v/>
      </c>
      <c r="AU166" s="62" t="str">
        <f>IF(AN166="","",IF(OR(AN166="Fr",AN166="La",AN166="Sn"),IF(AN166&lt;&gt;IFERROR(VLOOKUP(Wahlbogen!$B$6,F!$A$2:$C$22,3,0),"Sp"),"",AN166),AN166))</f>
        <v/>
      </c>
      <c r="AV166" s="62" t="str">
        <f>IF(AO166="","",IF(OR(AO166="Fr",AO166="La",AO166="Sn"),IF(AO166&lt;&gt;IFERROR(VLOOKUP(Wahlbogen!$B$6,F!$A$2:$C$22,3,0),"Sp"),"",AO166),AO166))</f>
        <v/>
      </c>
      <c r="AX166" s="62" t="str">
        <f t="shared" si="159"/>
        <v/>
      </c>
      <c r="AY166" s="62" t="str">
        <f t="shared" si="169"/>
        <v/>
      </c>
      <c r="AZ166" s="62" t="str">
        <f t="shared" si="170"/>
        <v/>
      </c>
      <c r="BA166" s="62" t="str">
        <f t="shared" si="171"/>
        <v/>
      </c>
      <c r="BC166" s="62" t="str">
        <f t="shared" si="163"/>
        <v/>
      </c>
      <c r="BD166" s="62" t="str">
        <f t="shared" si="172"/>
        <v/>
      </c>
      <c r="BE166" s="62" t="str">
        <f t="shared" si="173"/>
        <v/>
      </c>
      <c r="BF166" s="62" t="str">
        <f t="shared" si="174"/>
        <v/>
      </c>
      <c r="BH166" s="62" t="str">
        <f t="shared" si="175"/>
        <v/>
      </c>
      <c r="BI166" s="62" t="str">
        <f t="shared" si="176"/>
        <v/>
      </c>
      <c r="BJ166" s="62" t="str">
        <f t="shared" si="177"/>
        <v/>
      </c>
      <c r="BK166" s="62" t="str">
        <f t="shared" si="178"/>
        <v/>
      </c>
      <c r="BM166" s="62" t="str">
        <f t="shared" si="179"/>
        <v/>
      </c>
      <c r="BN166" s="62" t="str">
        <f t="shared" si="180"/>
        <v/>
      </c>
      <c r="BO166" s="62" t="str">
        <f t="shared" si="181"/>
        <v/>
      </c>
      <c r="BP166" s="62" t="str">
        <f t="shared" si="182"/>
        <v/>
      </c>
    </row>
    <row r="167" spans="1:68" x14ac:dyDescent="0.25">
      <c r="A167" s="30"/>
      <c r="Q167" s="12"/>
      <c r="R167" s="63">
        <f t="shared" si="155"/>
        <v>0</v>
      </c>
      <c r="S167" s="63">
        <f t="shared" si="156"/>
        <v>0</v>
      </c>
      <c r="T167" s="63">
        <f t="shared" si="157"/>
        <v>0</v>
      </c>
      <c r="U167" s="63">
        <f t="shared" si="158"/>
        <v>0</v>
      </c>
      <c r="W167" s="11"/>
      <c r="X167" s="11"/>
      <c r="Y167" s="11"/>
      <c r="AL167" s="14"/>
      <c r="AM167" s="14"/>
      <c r="AN167" s="14"/>
      <c r="AO167" s="14"/>
      <c r="AQ167" s="60">
        <v>9</v>
      </c>
      <c r="AS167" s="62" t="str">
        <f>IF(AL167="","",IF(OR(AL167="Fr",AL167="La",AL167="Sn"),IF(AL167&lt;&gt;IFERROR(VLOOKUP(Wahlbogen!$B$6,F!$A$2:$C$22,3,0),"Sp"),"",AL167),AL167))</f>
        <v/>
      </c>
      <c r="AT167" s="62" t="str">
        <f>IF(AM167="","",IF(OR(AM167="Fr",AM167="La",AM167="Sn"),IF(AM167&lt;&gt;IFERROR(VLOOKUP(Wahlbogen!$B$6,F!$A$2:$C$22,3,0),"Sp"),"",AM167),AM167))</f>
        <v/>
      </c>
      <c r="AU167" s="62" t="str">
        <f>IF(AN167="","",IF(OR(AN167="Fr",AN167="La",AN167="Sn"),IF(AN167&lt;&gt;IFERROR(VLOOKUP(Wahlbogen!$B$6,F!$A$2:$C$22,3,0),"Sp"),"",AN167),AN167))</f>
        <v/>
      </c>
      <c r="AV167" s="62" t="str">
        <f>IF(AO167="","",IF(OR(AO167="Fr",AO167="La",AO167="Sn"),IF(AO167&lt;&gt;IFERROR(VLOOKUP(Wahlbogen!$B$6,F!$A$2:$C$22,3,0),"Sp"),"",AO167),AO167))</f>
        <v/>
      </c>
      <c r="AX167" s="62" t="str">
        <f t="shared" si="159"/>
        <v/>
      </c>
      <c r="AY167" s="62" t="str">
        <f t="shared" si="169"/>
        <v/>
      </c>
      <c r="AZ167" s="62" t="str">
        <f t="shared" si="170"/>
        <v/>
      </c>
      <c r="BA167" s="62" t="str">
        <f t="shared" si="171"/>
        <v/>
      </c>
      <c r="BC167" s="62" t="str">
        <f t="shared" si="163"/>
        <v/>
      </c>
      <c r="BD167" s="62" t="str">
        <f t="shared" si="172"/>
        <v/>
      </c>
      <c r="BE167" s="62" t="str">
        <f t="shared" si="173"/>
        <v/>
      </c>
      <c r="BF167" s="62" t="str">
        <f t="shared" si="174"/>
        <v/>
      </c>
      <c r="BH167" s="62" t="str">
        <f t="shared" si="175"/>
        <v/>
      </c>
      <c r="BI167" s="62" t="str">
        <f t="shared" si="176"/>
        <v/>
      </c>
      <c r="BJ167" s="62" t="str">
        <f t="shared" si="177"/>
        <v/>
      </c>
      <c r="BK167" s="62" t="str">
        <f t="shared" si="178"/>
        <v/>
      </c>
      <c r="BM167" s="62" t="str">
        <f t="shared" si="179"/>
        <v/>
      </c>
      <c r="BN167" s="62" t="str">
        <f t="shared" si="180"/>
        <v/>
      </c>
      <c r="BO167" s="62" t="str">
        <f t="shared" si="181"/>
        <v/>
      </c>
      <c r="BP167" s="62" t="str">
        <f t="shared" si="182"/>
        <v/>
      </c>
    </row>
    <row r="168" spans="1:68" x14ac:dyDescent="0.25">
      <c r="A168" s="30"/>
      <c r="Q168" s="12"/>
      <c r="R168" s="63">
        <f t="shared" si="155"/>
        <v>0</v>
      </c>
      <c r="S168" s="63">
        <f t="shared" si="156"/>
        <v>0</v>
      </c>
      <c r="T168" s="63">
        <f t="shared" si="157"/>
        <v>0</v>
      </c>
      <c r="U168" s="63">
        <f t="shared" si="158"/>
        <v>0</v>
      </c>
      <c r="W168" s="11"/>
      <c r="X168" s="11"/>
      <c r="Y168" s="11"/>
      <c r="AL168" s="14"/>
      <c r="AM168" s="14"/>
      <c r="AN168" s="14"/>
      <c r="AO168" s="14"/>
      <c r="AQ168" s="60">
        <v>10</v>
      </c>
      <c r="AS168" s="62" t="str">
        <f>IF(AL168="","",IF(OR(AL168="Fr",AL168="La",AL168="Sn"),IF(AL168&lt;&gt;IFERROR(VLOOKUP(Wahlbogen!$B$6,F!$A$2:$C$22,3,0),"Sp"),"",AL168),AL168))</f>
        <v/>
      </c>
      <c r="AT168" s="62" t="str">
        <f>IF(AM168="","",IF(OR(AM168="Fr",AM168="La",AM168="Sn"),IF(AM168&lt;&gt;IFERROR(VLOOKUP(Wahlbogen!$B$6,F!$A$2:$C$22,3,0),"Sp"),"",AM168),AM168))</f>
        <v/>
      </c>
      <c r="AU168" s="62" t="str">
        <f>IF(AN168="","",IF(OR(AN168="Fr",AN168="La",AN168="Sn"),IF(AN168&lt;&gt;IFERROR(VLOOKUP(Wahlbogen!$B$6,F!$A$2:$C$22,3,0),"Sp"),"",AN168),AN168))</f>
        <v/>
      </c>
      <c r="AV168" s="62" t="str">
        <f>IF(AO168="","",IF(OR(AO168="Fr",AO168="La",AO168="Sn"),IF(AO168&lt;&gt;IFERROR(VLOOKUP(Wahlbogen!$B$6,F!$A$2:$C$22,3,0),"Sp"),"",AO168),AO168))</f>
        <v/>
      </c>
      <c r="AX168" s="62" t="str">
        <f t="shared" si="159"/>
        <v/>
      </c>
      <c r="AY168" s="62" t="str">
        <f t="shared" si="169"/>
        <v/>
      </c>
      <c r="AZ168" s="62" t="str">
        <f t="shared" si="170"/>
        <v/>
      </c>
      <c r="BA168" s="62" t="str">
        <f t="shared" si="171"/>
        <v/>
      </c>
      <c r="BC168" s="62" t="str">
        <f t="shared" si="163"/>
        <v/>
      </c>
      <c r="BD168" s="62" t="str">
        <f t="shared" si="172"/>
        <v/>
      </c>
      <c r="BE168" s="62" t="str">
        <f t="shared" si="173"/>
        <v/>
      </c>
      <c r="BF168" s="62" t="str">
        <f t="shared" si="174"/>
        <v/>
      </c>
      <c r="BH168" s="62" t="str">
        <f t="shared" si="175"/>
        <v/>
      </c>
      <c r="BI168" s="62" t="str">
        <f t="shared" si="176"/>
        <v/>
      </c>
      <c r="BJ168" s="62" t="str">
        <f t="shared" si="177"/>
        <v/>
      </c>
      <c r="BK168" s="62" t="str">
        <f t="shared" si="178"/>
        <v/>
      </c>
      <c r="BM168" s="62" t="str">
        <f t="shared" si="179"/>
        <v/>
      </c>
      <c r="BN168" s="62" t="str">
        <f t="shared" si="180"/>
        <v/>
      </c>
      <c r="BO168" s="62" t="str">
        <f t="shared" si="181"/>
        <v/>
      </c>
      <c r="BP168" s="62" t="str">
        <f t="shared" si="182"/>
        <v/>
      </c>
    </row>
    <row r="169" spans="1:68" x14ac:dyDescent="0.25">
      <c r="A169" s="30"/>
      <c r="Q169" s="12"/>
      <c r="R169" s="63">
        <f t="shared" si="155"/>
        <v>0</v>
      </c>
      <c r="S169" s="63">
        <f t="shared" si="156"/>
        <v>0</v>
      </c>
      <c r="T169" s="63">
        <f t="shared" si="157"/>
        <v>0</v>
      </c>
      <c r="U169" s="63">
        <f t="shared" si="158"/>
        <v>0</v>
      </c>
      <c r="W169" s="11"/>
      <c r="X169" s="11"/>
      <c r="Y169" s="11"/>
      <c r="AL169" s="14"/>
      <c r="AM169" s="14"/>
      <c r="AN169" s="14"/>
      <c r="AO169" s="14"/>
      <c r="AQ169" s="60">
        <v>11</v>
      </c>
      <c r="AS169" s="62" t="str">
        <f>IF(AL169="","",IF(OR(AL169="Fr",AL169="La",AL169="Sn"),IF(AL169&lt;&gt;IFERROR(VLOOKUP(Wahlbogen!$B$6,F!$A$2:$C$22,3,0),"Sp"),"",AL169),AL169))</f>
        <v/>
      </c>
      <c r="AT169" s="62" t="str">
        <f>IF(AM169="","",IF(OR(AM169="Fr",AM169="La",AM169="Sn"),IF(AM169&lt;&gt;IFERROR(VLOOKUP(Wahlbogen!$B$6,F!$A$2:$C$22,3,0),"Sp"),"",AM169),AM169))</f>
        <v/>
      </c>
      <c r="AU169" s="62" t="str">
        <f>IF(AN169="","",IF(OR(AN169="Fr",AN169="La",AN169="Sn"),IF(AN169&lt;&gt;IFERROR(VLOOKUP(Wahlbogen!$B$6,F!$A$2:$C$22,3,0),"Sp"),"",AN169),AN169))</f>
        <v/>
      </c>
      <c r="AV169" s="62" t="str">
        <f>IF(AO169="","",IF(OR(AO169="Fr",AO169="La",AO169="Sn"),IF(AO169&lt;&gt;IFERROR(VLOOKUP(Wahlbogen!$B$6,F!$A$2:$C$22,3,0),"Sp"),"",AO169),AO169))</f>
        <v/>
      </c>
      <c r="AX169" s="62" t="str">
        <f t="shared" si="159"/>
        <v/>
      </c>
      <c r="AY169" s="62" t="str">
        <f t="shared" si="169"/>
        <v/>
      </c>
      <c r="AZ169" s="62" t="str">
        <f t="shared" si="170"/>
        <v/>
      </c>
      <c r="BA169" s="62" t="str">
        <f t="shared" si="171"/>
        <v/>
      </c>
      <c r="BC169" s="62" t="str">
        <f t="shared" si="163"/>
        <v/>
      </c>
      <c r="BD169" s="62" t="str">
        <f t="shared" si="172"/>
        <v/>
      </c>
      <c r="BE169" s="62" t="str">
        <f t="shared" si="173"/>
        <v/>
      </c>
      <c r="BF169" s="62" t="str">
        <f t="shared" si="174"/>
        <v/>
      </c>
      <c r="BH169" s="62" t="str">
        <f t="shared" si="175"/>
        <v/>
      </c>
      <c r="BI169" s="62" t="str">
        <f t="shared" si="176"/>
        <v/>
      </c>
      <c r="BJ169" s="62" t="str">
        <f t="shared" si="177"/>
        <v/>
      </c>
      <c r="BK169" s="62" t="str">
        <f t="shared" si="178"/>
        <v/>
      </c>
      <c r="BM169" s="62" t="str">
        <f t="shared" si="179"/>
        <v/>
      </c>
      <c r="BN169" s="62" t="str">
        <f t="shared" si="180"/>
        <v/>
      </c>
      <c r="BO169" s="62" t="str">
        <f t="shared" si="181"/>
        <v/>
      </c>
      <c r="BP169" s="62" t="str">
        <f t="shared" si="182"/>
        <v/>
      </c>
    </row>
    <row r="170" spans="1:68" x14ac:dyDescent="0.25">
      <c r="A170" s="30"/>
      <c r="Q170" s="12"/>
      <c r="R170" s="63">
        <f t="shared" si="155"/>
        <v>0</v>
      </c>
      <c r="S170" s="63">
        <f t="shared" si="156"/>
        <v>0</v>
      </c>
      <c r="T170" s="63">
        <f t="shared" si="157"/>
        <v>0</v>
      </c>
      <c r="U170" s="63">
        <f t="shared" si="158"/>
        <v>0</v>
      </c>
      <c r="W170" s="11"/>
      <c r="X170" s="11"/>
      <c r="Y170" s="11"/>
      <c r="AL170" s="14"/>
      <c r="AM170" s="14"/>
      <c r="AN170" s="14" t="s">
        <v>19</v>
      </c>
      <c r="AO170" s="14"/>
      <c r="AQ170" s="60">
        <v>12</v>
      </c>
      <c r="AS170" s="62" t="str">
        <f>IF(AL170="","",IF(OR(AL170="Fr",AL170="La",AL170="Sn"),IF(AL170&lt;&gt;IFERROR(VLOOKUP(Wahlbogen!$B$6,F!$A$2:$C$22,3,0),"Sp"),"",AL170),AL170))</f>
        <v/>
      </c>
      <c r="AT170" s="62" t="str">
        <f>IF(AM170="","",IF(OR(AM170="Fr",AM170="La",AM170="Sn"),IF(AM170&lt;&gt;IFERROR(VLOOKUP(Wahlbogen!$B$6,F!$A$2:$C$22,3,0),"Sp"),"",AM170),AM170))</f>
        <v/>
      </c>
      <c r="AU170" s="62" t="str">
        <f>IF(AN170="","",IF(OR(AN170="Fr",AN170="La",AN170="Sn"),IF(AN170&lt;&gt;IFERROR(VLOOKUP(Wahlbogen!$B$6,F!$A$2:$C$22,3,0),"Sp"),"",AN170),AN170))</f>
        <v/>
      </c>
      <c r="AV170" s="62" t="str">
        <f>IF(AO170="","",IF(OR(AO170="Fr",AO170="La",AO170="Sn"),IF(AO170&lt;&gt;IFERROR(VLOOKUP(Wahlbogen!$B$6,F!$A$2:$C$22,3,0),"Sp"),"",AO170),AO170))</f>
        <v/>
      </c>
      <c r="AX170" s="62" t="str">
        <f t="shared" si="159"/>
        <v/>
      </c>
      <c r="AY170" s="62" t="str">
        <f t="shared" si="169"/>
        <v/>
      </c>
      <c r="AZ170" s="62" t="str">
        <f t="shared" si="170"/>
        <v/>
      </c>
      <c r="BA170" s="62" t="str">
        <f t="shared" si="171"/>
        <v/>
      </c>
      <c r="BC170" s="62" t="str">
        <f t="shared" si="163"/>
        <v/>
      </c>
      <c r="BD170" s="62" t="str">
        <f t="shared" si="172"/>
        <v/>
      </c>
      <c r="BE170" s="62" t="str">
        <f t="shared" si="173"/>
        <v/>
      </c>
      <c r="BF170" s="62" t="str">
        <f t="shared" si="174"/>
        <v/>
      </c>
      <c r="BH170" s="62" t="str">
        <f t="shared" si="175"/>
        <v/>
      </c>
      <c r="BI170" s="62" t="str">
        <f t="shared" si="176"/>
        <v/>
      </c>
      <c r="BJ170" s="62" t="str">
        <f t="shared" si="177"/>
        <v/>
      </c>
      <c r="BK170" s="62" t="str">
        <f t="shared" si="178"/>
        <v/>
      </c>
      <c r="BM170" s="62" t="str">
        <f t="shared" si="179"/>
        <v/>
      </c>
      <c r="BN170" s="62" t="str">
        <f t="shared" si="180"/>
        <v/>
      </c>
      <c r="BO170" s="62" t="str">
        <f t="shared" si="181"/>
        <v/>
      </c>
      <c r="BP170" s="62" t="str">
        <f t="shared" si="182"/>
        <v/>
      </c>
    </row>
    <row r="171" spans="1:68" x14ac:dyDescent="0.25">
      <c r="A171" s="30"/>
      <c r="Q171" s="12"/>
      <c r="R171" s="63">
        <f t="shared" si="155"/>
        <v>0</v>
      </c>
      <c r="S171" s="63">
        <f t="shared" si="156"/>
        <v>0</v>
      </c>
      <c r="T171" s="63">
        <f t="shared" si="157"/>
        <v>0</v>
      </c>
      <c r="U171" s="63">
        <f t="shared" si="158"/>
        <v>0</v>
      </c>
      <c r="W171" s="11"/>
      <c r="X171" s="11"/>
      <c r="Y171" s="11"/>
      <c r="AL171" s="14" t="s">
        <v>55</v>
      </c>
      <c r="AM171" s="14" t="s">
        <v>55</v>
      </c>
      <c r="AN171" s="14" t="s">
        <v>55</v>
      </c>
      <c r="AO171" s="14" t="s">
        <v>55</v>
      </c>
      <c r="AQ171" s="60">
        <v>13</v>
      </c>
      <c r="AS171" s="62" t="str">
        <f>IF(AL171="","",IF(OR(AL171="Fr",AL171="La",AL171="Sn"),IF(AL171&lt;&gt;IFERROR(VLOOKUP(Wahlbogen!$B$6,F!$A$2:$C$22,3,0),"Sp"),"",AL171),AL171))</f>
        <v>Ma</v>
      </c>
      <c r="AT171" s="62" t="str">
        <f>IF(AM171="","",IF(OR(AM171="Fr",AM171="La",AM171="Sn"),IF(AM171&lt;&gt;IFERROR(VLOOKUP(Wahlbogen!$B$6,F!$A$2:$C$22,3,0),"Sp"),"",AM171),AM171))</f>
        <v>Ma</v>
      </c>
      <c r="AU171" s="62" t="str">
        <f>IF(AN171="","",IF(OR(AN171="Fr",AN171="La",AN171="Sn"),IF(AN171&lt;&gt;IFERROR(VLOOKUP(Wahlbogen!$B$6,F!$A$2:$C$22,3,0),"Sp"),"",AN171),AN171))</f>
        <v>Ma</v>
      </c>
      <c r="AV171" s="62" t="str">
        <f>IF(AO171="","",IF(OR(AO171="Fr",AO171="La",AO171="Sn"),IF(AO171&lt;&gt;IFERROR(VLOOKUP(Wahlbogen!$B$6,F!$A$2:$C$22,3,0),"Sp"),"",AO171),AO171))</f>
        <v>Ma</v>
      </c>
      <c r="AX171" s="62">
        <f t="shared" si="159"/>
        <v>15</v>
      </c>
      <c r="AY171" s="62">
        <f t="shared" si="169"/>
        <v>15</v>
      </c>
      <c r="AZ171" s="62">
        <f t="shared" si="170"/>
        <v>15</v>
      </c>
      <c r="BA171" s="62">
        <f t="shared" si="171"/>
        <v>15</v>
      </c>
      <c r="BC171" s="62">
        <f t="shared" si="163"/>
        <v>3</v>
      </c>
      <c r="BD171" s="62">
        <f t="shared" si="172"/>
        <v>3</v>
      </c>
      <c r="BE171" s="62">
        <f t="shared" si="173"/>
        <v>3</v>
      </c>
      <c r="BF171" s="62">
        <f t="shared" si="174"/>
        <v>3</v>
      </c>
      <c r="BH171" s="62" t="str">
        <f t="shared" si="175"/>
        <v>Ma</v>
      </c>
      <c r="BI171" s="62" t="str">
        <f t="shared" si="176"/>
        <v>Ma</v>
      </c>
      <c r="BJ171" s="62" t="str">
        <f t="shared" si="177"/>
        <v>Ma</v>
      </c>
      <c r="BK171" s="62" t="str">
        <f t="shared" si="178"/>
        <v>Ma</v>
      </c>
      <c r="BM171" s="62" t="str">
        <f t="shared" si="179"/>
        <v/>
      </c>
      <c r="BN171" s="62" t="str">
        <f t="shared" si="180"/>
        <v/>
      </c>
      <c r="BO171" s="62" t="str">
        <f t="shared" si="181"/>
        <v/>
      </c>
      <c r="BP171" s="62" t="str">
        <f t="shared" si="182"/>
        <v/>
      </c>
    </row>
    <row r="172" spans="1:68" x14ac:dyDescent="0.25">
      <c r="A172" s="30"/>
      <c r="Q172" s="12"/>
      <c r="R172" s="63">
        <f t="shared" si="155"/>
        <v>0</v>
      </c>
      <c r="S172" s="63">
        <f t="shared" si="156"/>
        <v>0</v>
      </c>
      <c r="T172" s="63">
        <f t="shared" si="157"/>
        <v>0</v>
      </c>
      <c r="U172" s="63">
        <f t="shared" si="158"/>
        <v>0</v>
      </c>
      <c r="W172" s="11"/>
      <c r="X172" s="11"/>
      <c r="Y172" s="11"/>
      <c r="AL172" s="14" t="s">
        <v>42</v>
      </c>
      <c r="AM172" s="14" t="s">
        <v>42</v>
      </c>
      <c r="AN172" s="14" t="s">
        <v>42</v>
      </c>
      <c r="AO172" s="14" t="s">
        <v>42</v>
      </c>
      <c r="AQ172" s="60">
        <v>14</v>
      </c>
      <c r="AS172" s="62" t="str">
        <f>IF(AL172="","",IF(OR(AL172="Fr",AL172="La",AL172="Sn"),IF(AL172&lt;&gt;IFERROR(VLOOKUP(Wahlbogen!$B$6,F!$A$2:$C$22,3,0),"Sp"),"",AL172),AL172))</f>
        <v>Bi</v>
      </c>
      <c r="AT172" s="62" t="str">
        <f>IF(AM172="","",IF(OR(AM172="Fr",AM172="La",AM172="Sn"),IF(AM172&lt;&gt;IFERROR(VLOOKUP(Wahlbogen!$B$6,F!$A$2:$C$22,3,0),"Sp"),"",AM172),AM172))</f>
        <v>Bi</v>
      </c>
      <c r="AU172" s="62" t="str">
        <f>IF(AN172="","",IF(OR(AN172="Fr",AN172="La",AN172="Sn"),IF(AN172&lt;&gt;IFERROR(VLOOKUP(Wahlbogen!$B$6,F!$A$2:$C$22,3,0),"Sp"),"",AN172),AN172))</f>
        <v>Bi</v>
      </c>
      <c r="AV172" s="62" t="str">
        <f>IF(AO172="","",IF(OR(AO172="Fr",AO172="La",AO172="Sn"),IF(AO172&lt;&gt;IFERROR(VLOOKUP(Wahlbogen!$B$6,F!$A$2:$C$22,3,0),"Sp"),"",AO172),AO172))</f>
        <v>Bi</v>
      </c>
      <c r="AX172" s="62">
        <f t="shared" si="159"/>
        <v>16</v>
      </c>
      <c r="AY172" s="62">
        <f t="shared" si="169"/>
        <v>16</v>
      </c>
      <c r="AZ172" s="62">
        <f t="shared" si="170"/>
        <v>16</v>
      </c>
      <c r="BA172" s="62">
        <f t="shared" si="171"/>
        <v>16</v>
      </c>
      <c r="BC172" s="62">
        <f t="shared" si="163"/>
        <v>4</v>
      </c>
      <c r="BD172" s="62">
        <f t="shared" si="172"/>
        <v>4</v>
      </c>
      <c r="BE172" s="62">
        <f t="shared" si="173"/>
        <v>4</v>
      </c>
      <c r="BF172" s="62">
        <f t="shared" si="174"/>
        <v>4</v>
      </c>
      <c r="BH172" s="62" t="str">
        <f t="shared" si="175"/>
        <v>Bi</v>
      </c>
      <c r="BI172" s="62" t="str">
        <f t="shared" si="176"/>
        <v>Bi</v>
      </c>
      <c r="BJ172" s="62" t="str">
        <f t="shared" si="177"/>
        <v>Bi</v>
      </c>
      <c r="BK172" s="62" t="str">
        <f t="shared" si="178"/>
        <v>Bi</v>
      </c>
      <c r="BM172" s="62" t="str">
        <f t="shared" si="179"/>
        <v/>
      </c>
      <c r="BN172" s="62" t="str">
        <f t="shared" si="180"/>
        <v/>
      </c>
      <c r="BO172" s="62" t="str">
        <f t="shared" si="181"/>
        <v/>
      </c>
      <c r="BP172" s="62" t="str">
        <f t="shared" si="182"/>
        <v/>
      </c>
    </row>
    <row r="173" spans="1:68" x14ac:dyDescent="0.25">
      <c r="A173" s="30"/>
      <c r="Q173" s="12"/>
      <c r="R173" s="63">
        <f t="shared" si="155"/>
        <v>0</v>
      </c>
      <c r="S173" s="63">
        <f t="shared" si="156"/>
        <v>0</v>
      </c>
      <c r="T173" s="63">
        <f t="shared" si="157"/>
        <v>0</v>
      </c>
      <c r="U173" s="63">
        <f t="shared" si="158"/>
        <v>0</v>
      </c>
      <c r="W173" s="11"/>
      <c r="X173" s="11"/>
      <c r="Y173" s="11"/>
      <c r="AL173" s="14" t="s">
        <v>43</v>
      </c>
      <c r="AM173" s="14" t="s">
        <v>43</v>
      </c>
      <c r="AN173" s="14" t="s">
        <v>43</v>
      </c>
      <c r="AO173" s="14" t="s">
        <v>43</v>
      </c>
      <c r="AQ173" s="60">
        <v>15</v>
      </c>
      <c r="AS173" s="62" t="str">
        <f>IF(AL173="","",IF(OR(AL173="Fr",AL173="La",AL173="Sn"),IF(AL173&lt;&gt;IFERROR(VLOOKUP(Wahlbogen!$B$6,F!$A$2:$C$22,3,0),"Sp"),"",AL173),AL173))</f>
        <v>Ch</v>
      </c>
      <c r="AT173" s="62" t="str">
        <f>IF(AM173="","",IF(OR(AM173="Fr",AM173="La",AM173="Sn"),IF(AM173&lt;&gt;IFERROR(VLOOKUP(Wahlbogen!$B$6,F!$A$2:$C$22,3,0),"Sp"),"",AM173),AM173))</f>
        <v>Ch</v>
      </c>
      <c r="AU173" s="62" t="str">
        <f>IF(AN173="","",IF(OR(AN173="Fr",AN173="La",AN173="Sn"),IF(AN173&lt;&gt;IFERROR(VLOOKUP(Wahlbogen!$B$6,F!$A$2:$C$22,3,0),"Sp"),"",AN173),AN173))</f>
        <v>Ch</v>
      </c>
      <c r="AV173" s="62" t="str">
        <f>IF(AO173="","",IF(OR(AO173="Fr",AO173="La",AO173="Sn"),IF(AO173&lt;&gt;IFERROR(VLOOKUP(Wahlbogen!$B$6,F!$A$2:$C$22,3,0),"Sp"),"",AO173),AO173))</f>
        <v>Ch</v>
      </c>
      <c r="AX173" s="62">
        <f t="shared" si="159"/>
        <v>17</v>
      </c>
      <c r="AY173" s="62">
        <f t="shared" si="169"/>
        <v>17</v>
      </c>
      <c r="AZ173" s="62">
        <f t="shared" si="170"/>
        <v>17</v>
      </c>
      <c r="BA173" s="62">
        <f t="shared" si="171"/>
        <v>17</v>
      </c>
      <c r="BC173" s="62">
        <f t="shared" si="163"/>
        <v>5</v>
      </c>
      <c r="BD173" s="62">
        <f t="shared" si="172"/>
        <v>5</v>
      </c>
      <c r="BE173" s="62">
        <f t="shared" si="173"/>
        <v>5</v>
      </c>
      <c r="BF173" s="62">
        <f t="shared" si="174"/>
        <v>5</v>
      </c>
      <c r="BH173" s="62" t="str">
        <f t="shared" si="175"/>
        <v>Ch</v>
      </c>
      <c r="BI173" s="62" t="str">
        <f t="shared" si="176"/>
        <v>Ch</v>
      </c>
      <c r="BJ173" s="62" t="str">
        <f t="shared" si="177"/>
        <v>Ch</v>
      </c>
      <c r="BK173" s="62" t="str">
        <f t="shared" si="178"/>
        <v>Ch</v>
      </c>
      <c r="BM173" s="62" t="str">
        <f t="shared" si="179"/>
        <v/>
      </c>
      <c r="BN173" s="62" t="str">
        <f t="shared" si="180"/>
        <v/>
      </c>
      <c r="BO173" s="62" t="str">
        <f t="shared" si="181"/>
        <v/>
      </c>
      <c r="BP173" s="62" t="str">
        <f t="shared" si="182"/>
        <v/>
      </c>
    </row>
    <row r="174" spans="1:68" x14ac:dyDescent="0.25">
      <c r="A174" s="30"/>
      <c r="Q174" s="12"/>
      <c r="R174" s="63">
        <f t="shared" si="155"/>
        <v>0</v>
      </c>
      <c r="S174" s="63">
        <f t="shared" si="156"/>
        <v>0</v>
      </c>
      <c r="T174" s="63">
        <f t="shared" si="157"/>
        <v>0</v>
      </c>
      <c r="U174" s="63">
        <f t="shared" si="158"/>
        <v>0</v>
      </c>
      <c r="W174" s="11"/>
      <c r="X174" s="11"/>
      <c r="Y174" s="11"/>
      <c r="AL174" s="14" t="s">
        <v>57</v>
      </c>
      <c r="AM174" s="14" t="s">
        <v>57</v>
      </c>
      <c r="AN174" s="14" t="s">
        <v>57</v>
      </c>
      <c r="AO174" s="14" t="s">
        <v>57</v>
      </c>
      <c r="AQ174" s="60">
        <v>16</v>
      </c>
      <c r="AS174" s="62" t="str">
        <f>IF(AL174="","",IF(OR(AL174="Fr",AL174="La",AL174="Sn"),IF(AL174&lt;&gt;IFERROR(VLOOKUP(Wahlbogen!$B$6,F!$A$2:$C$22,3,0),"Sp"),"",AL174),AL174))</f>
        <v>Ph</v>
      </c>
      <c r="AT174" s="62" t="str">
        <f>IF(AM174="","",IF(OR(AM174="Fr",AM174="La",AM174="Sn"),IF(AM174&lt;&gt;IFERROR(VLOOKUP(Wahlbogen!$B$6,F!$A$2:$C$22,3,0),"Sp"),"",AM174),AM174))</f>
        <v>Ph</v>
      </c>
      <c r="AU174" s="62" t="str">
        <f>IF(AN174="","",IF(OR(AN174="Fr",AN174="La",AN174="Sn"),IF(AN174&lt;&gt;IFERROR(VLOOKUP(Wahlbogen!$B$6,F!$A$2:$C$22,3,0),"Sp"),"",AN174),AN174))</f>
        <v>Ph</v>
      </c>
      <c r="AV174" s="62" t="str">
        <f>IF(AO174="","",IF(OR(AO174="Fr",AO174="La",AO174="Sn"),IF(AO174&lt;&gt;IFERROR(VLOOKUP(Wahlbogen!$B$6,F!$A$2:$C$22,3,0),"Sp"),"",AO174),AO174))</f>
        <v>Ph</v>
      </c>
      <c r="AX174" s="62">
        <f t="shared" si="159"/>
        <v>18</v>
      </c>
      <c r="AY174" s="62">
        <f t="shared" si="169"/>
        <v>18</v>
      </c>
      <c r="AZ174" s="62">
        <f t="shared" si="170"/>
        <v>18</v>
      </c>
      <c r="BA174" s="62">
        <f t="shared" si="171"/>
        <v>18</v>
      </c>
      <c r="BC174" s="62">
        <f t="shared" si="163"/>
        <v>6</v>
      </c>
      <c r="BD174" s="62">
        <f t="shared" si="172"/>
        <v>6</v>
      </c>
      <c r="BE174" s="62">
        <f t="shared" si="173"/>
        <v>6</v>
      </c>
      <c r="BF174" s="62">
        <f t="shared" si="174"/>
        <v>6</v>
      </c>
      <c r="BH174" s="62" t="str">
        <f t="shared" si="175"/>
        <v>Ph</v>
      </c>
      <c r="BI174" s="62" t="str">
        <f t="shared" si="176"/>
        <v>Ph</v>
      </c>
      <c r="BJ174" s="62" t="str">
        <f t="shared" si="177"/>
        <v>Ph</v>
      </c>
      <c r="BK174" s="62" t="str">
        <f t="shared" si="178"/>
        <v>Ph</v>
      </c>
      <c r="BM174" s="62" t="str">
        <f t="shared" si="179"/>
        <v/>
      </c>
      <c r="BN174" s="62" t="str">
        <f t="shared" si="180"/>
        <v/>
      </c>
      <c r="BO174" s="62" t="str">
        <f t="shared" si="181"/>
        <v/>
      </c>
      <c r="BP174" s="62" t="str">
        <f t="shared" si="182"/>
        <v/>
      </c>
    </row>
    <row r="175" spans="1:68" x14ac:dyDescent="0.25">
      <c r="A175" s="30"/>
      <c r="Q175" s="12"/>
      <c r="R175" s="63">
        <f t="shared" si="155"/>
        <v>0</v>
      </c>
      <c r="S175" s="63">
        <f t="shared" si="156"/>
        <v>0</v>
      </c>
      <c r="T175" s="63">
        <f t="shared" si="157"/>
        <v>0</v>
      </c>
      <c r="U175" s="63">
        <f t="shared" si="158"/>
        <v>0</v>
      </c>
      <c r="W175" s="11"/>
      <c r="X175" s="11"/>
      <c r="Y175" s="11"/>
      <c r="AL175" s="14" t="s">
        <v>19</v>
      </c>
      <c r="AM175" s="14" t="s">
        <v>19</v>
      </c>
      <c r="AN175" s="14" t="s">
        <v>19</v>
      </c>
      <c r="AO175" s="14" t="s">
        <v>19</v>
      </c>
      <c r="AQ175" s="60">
        <v>17</v>
      </c>
      <c r="AS175" s="62" t="str">
        <f>IF(AL175="","",IF(OR(AL175="Fr",AL175="La",AL175="Sn"),IF(AL175&lt;&gt;IFERROR(VLOOKUP(Wahlbogen!$B$6,F!$A$2:$C$22,3,0),"Sp"),"",AL175),AL175))</f>
        <v/>
      </c>
      <c r="AT175" s="62" t="str">
        <f>IF(AM175="","",IF(OR(AM175="Fr",AM175="La",AM175="Sn"),IF(AM175&lt;&gt;IFERROR(VLOOKUP(Wahlbogen!$B$6,F!$A$2:$C$22,3,0),"Sp"),"",AM175),AM175))</f>
        <v/>
      </c>
      <c r="AU175" s="62" t="str">
        <f>IF(AN175="","",IF(OR(AN175="Fr",AN175="La",AN175="Sn"),IF(AN175&lt;&gt;IFERROR(VLOOKUP(Wahlbogen!$B$6,F!$A$2:$C$22,3,0),"Sp"),"",AN175),AN175))</f>
        <v/>
      </c>
      <c r="AV175" s="62" t="str">
        <f>IF(AO175="","",IF(OR(AO175="Fr",AO175="La",AO175="Sn"),IF(AO175&lt;&gt;IFERROR(VLOOKUP(Wahlbogen!$B$6,F!$A$2:$C$22,3,0),"Sp"),"",AO175),AO175))</f>
        <v/>
      </c>
      <c r="AX175" s="62" t="str">
        <f t="shared" si="159"/>
        <v/>
      </c>
      <c r="AY175" s="62" t="str">
        <f t="shared" si="169"/>
        <v/>
      </c>
      <c r="AZ175" s="62" t="str">
        <f t="shared" si="170"/>
        <v/>
      </c>
      <c r="BA175" s="62" t="str">
        <f t="shared" si="171"/>
        <v/>
      </c>
      <c r="BC175" s="62" t="str">
        <f t="shared" si="163"/>
        <v/>
      </c>
      <c r="BD175" s="62" t="str">
        <f t="shared" si="172"/>
        <v/>
      </c>
      <c r="BE175" s="62" t="str">
        <f t="shared" si="173"/>
        <v/>
      </c>
      <c r="BF175" s="62" t="str">
        <f t="shared" si="174"/>
        <v/>
      </c>
      <c r="BH175" s="62" t="str">
        <f t="shared" si="175"/>
        <v/>
      </c>
      <c r="BI175" s="62" t="str">
        <f t="shared" si="176"/>
        <v/>
      </c>
      <c r="BJ175" s="62" t="str">
        <f t="shared" si="177"/>
        <v/>
      </c>
      <c r="BK175" s="62" t="str">
        <f t="shared" si="178"/>
        <v/>
      </c>
      <c r="BM175" s="62" t="str">
        <f t="shared" si="179"/>
        <v/>
      </c>
      <c r="BN175" s="62" t="str">
        <f t="shared" si="180"/>
        <v/>
      </c>
      <c r="BO175" s="62" t="str">
        <f t="shared" si="181"/>
        <v/>
      </c>
      <c r="BP175" s="62" t="str">
        <f t="shared" si="182"/>
        <v/>
      </c>
    </row>
    <row r="176" spans="1:68" x14ac:dyDescent="0.25">
      <c r="A176" s="30"/>
      <c r="Q176" s="12"/>
      <c r="R176" s="63">
        <f t="shared" si="155"/>
        <v>0</v>
      </c>
      <c r="S176" s="63">
        <f t="shared" si="156"/>
        <v>0</v>
      </c>
      <c r="T176" s="63">
        <f t="shared" si="157"/>
        <v>0</v>
      </c>
      <c r="U176" s="63">
        <f t="shared" si="158"/>
        <v>0</v>
      </c>
      <c r="W176" s="11"/>
      <c r="X176" s="11"/>
      <c r="Y176" s="11"/>
      <c r="AL176" s="14"/>
      <c r="AM176" s="14"/>
      <c r="AN176" s="14"/>
      <c r="AO176" s="14"/>
      <c r="AQ176" s="60">
        <v>18</v>
      </c>
      <c r="AS176" s="62" t="str">
        <f>IF(AL176="","",IF(OR(AL176="Fr",AL176="La",AL176="Sn"),IF(AL176&lt;&gt;IFERROR(VLOOKUP(Wahlbogen!$B$6,F!$A$2:$C$22,3,0),"Sp"),"",AL176),AL176))</f>
        <v/>
      </c>
      <c r="AT176" s="62" t="str">
        <f>IF(AM176="","",IF(OR(AM176="Fr",AM176="La",AM176="Sn"),IF(AM176&lt;&gt;IFERROR(VLOOKUP(Wahlbogen!$B$6,F!$A$2:$C$22,3,0),"Sp"),"",AM176),AM176))</f>
        <v/>
      </c>
      <c r="AU176" s="62" t="str">
        <f>IF(AN176="","",IF(OR(AN176="Fr",AN176="La",AN176="Sn"),IF(AN176&lt;&gt;IFERROR(VLOOKUP(Wahlbogen!$B$6,F!$A$2:$C$22,3,0),"Sp"),"",AN176),AN176))</f>
        <v/>
      </c>
      <c r="AV176" s="62" t="str">
        <f>IF(AO176="","",IF(OR(AO176="Fr",AO176="La",AO176="Sn"),IF(AO176&lt;&gt;IFERROR(VLOOKUP(Wahlbogen!$B$6,F!$A$2:$C$22,3,0),"Sp"),"",AO176),AO176))</f>
        <v/>
      </c>
      <c r="AX176" s="62" t="str">
        <f t="shared" si="159"/>
        <v/>
      </c>
      <c r="AY176" s="62" t="str">
        <f t="shared" si="169"/>
        <v/>
      </c>
      <c r="AZ176" s="62" t="str">
        <f t="shared" si="170"/>
        <v/>
      </c>
      <c r="BA176" s="62" t="str">
        <f t="shared" si="171"/>
        <v/>
      </c>
      <c r="BC176" s="62" t="str">
        <f t="shared" si="163"/>
        <v/>
      </c>
      <c r="BD176" s="62" t="str">
        <f t="shared" si="172"/>
        <v/>
      </c>
      <c r="BE176" s="62" t="str">
        <f t="shared" si="173"/>
        <v/>
      </c>
      <c r="BF176" s="62" t="str">
        <f t="shared" si="174"/>
        <v/>
      </c>
      <c r="BH176" s="62" t="str">
        <f t="shared" si="175"/>
        <v/>
      </c>
      <c r="BI176" s="62" t="str">
        <f t="shared" si="176"/>
        <v/>
      </c>
      <c r="BJ176" s="62" t="str">
        <f t="shared" si="177"/>
        <v/>
      </c>
      <c r="BK176" s="62" t="str">
        <f t="shared" si="178"/>
        <v/>
      </c>
      <c r="BM176" s="62" t="str">
        <f t="shared" si="179"/>
        <v/>
      </c>
      <c r="BN176" s="62" t="str">
        <f t="shared" si="180"/>
        <v/>
      </c>
      <c r="BO176" s="62" t="str">
        <f t="shared" si="181"/>
        <v/>
      </c>
      <c r="BP176" s="62" t="str">
        <f t="shared" si="182"/>
        <v/>
      </c>
    </row>
    <row r="177" spans="1:68" x14ac:dyDescent="0.25">
      <c r="A177" s="30"/>
      <c r="Q177" s="12"/>
      <c r="R177" s="63">
        <f t="shared" si="155"/>
        <v>0</v>
      </c>
      <c r="S177" s="63">
        <f t="shared" si="156"/>
        <v>0</v>
      </c>
      <c r="T177" s="63">
        <f t="shared" si="157"/>
        <v>0</v>
      </c>
      <c r="U177" s="63">
        <f t="shared" si="158"/>
        <v>0</v>
      </c>
      <c r="W177" s="11"/>
      <c r="X177" s="11"/>
      <c r="Y177" s="11"/>
      <c r="AL177" s="14" t="s">
        <v>19</v>
      </c>
      <c r="AM177" s="14" t="s">
        <v>19</v>
      </c>
      <c r="AN177" s="14" t="s">
        <v>19</v>
      </c>
      <c r="AO177" s="14" t="s">
        <v>19</v>
      </c>
      <c r="AQ177" s="60">
        <v>19</v>
      </c>
      <c r="AS177" s="62" t="str">
        <f>IF(AL177="","",IF(OR(AL177="Fr",AL177="La",AL177="Sn"),IF(AL177&lt;&gt;IFERROR(VLOOKUP(Wahlbogen!$B$6,F!$A$2:$C$22,3,0),"Sp"),"",AL177),AL177))</f>
        <v/>
      </c>
      <c r="AT177" s="62" t="str">
        <f>IF(AM177="","",IF(OR(AM177="Fr",AM177="La",AM177="Sn"),IF(AM177&lt;&gt;IFERROR(VLOOKUP(Wahlbogen!$B$6,F!$A$2:$C$22,3,0),"Sp"),"",AM177),AM177))</f>
        <v/>
      </c>
      <c r="AU177" s="62" t="str">
        <f>IF(AN177="","",IF(OR(AN177="Fr",AN177="La",AN177="Sn"),IF(AN177&lt;&gt;IFERROR(VLOOKUP(Wahlbogen!$B$6,F!$A$2:$C$22,3,0),"Sp"),"",AN177),AN177))</f>
        <v/>
      </c>
      <c r="AV177" s="62" t="str">
        <f>IF(AO177="","",IF(OR(AO177="Fr",AO177="La",AO177="Sn"),IF(AO177&lt;&gt;IFERROR(VLOOKUP(Wahlbogen!$B$6,F!$A$2:$C$22,3,0),"Sp"),"",AO177),AO177))</f>
        <v/>
      </c>
      <c r="AX177" s="62" t="str">
        <f t="shared" si="159"/>
        <v/>
      </c>
      <c r="AY177" s="62" t="str">
        <f t="shared" si="169"/>
        <v/>
      </c>
      <c r="AZ177" s="62" t="str">
        <f t="shared" si="170"/>
        <v/>
      </c>
      <c r="BA177" s="62" t="str">
        <f t="shared" si="171"/>
        <v/>
      </c>
      <c r="BC177" s="62" t="str">
        <f t="shared" si="163"/>
        <v/>
      </c>
      <c r="BD177" s="62" t="str">
        <f t="shared" si="172"/>
        <v/>
      </c>
      <c r="BE177" s="62" t="str">
        <f t="shared" si="173"/>
        <v/>
      </c>
      <c r="BF177" s="62" t="str">
        <f t="shared" si="174"/>
        <v/>
      </c>
      <c r="BH177" s="62" t="str">
        <f t="shared" si="175"/>
        <v/>
      </c>
      <c r="BI177" s="62" t="str">
        <f t="shared" si="176"/>
        <v/>
      </c>
      <c r="BJ177" s="62" t="str">
        <f t="shared" si="177"/>
        <v/>
      </c>
      <c r="BK177" s="62" t="str">
        <f t="shared" si="178"/>
        <v/>
      </c>
      <c r="BM177" s="62" t="str">
        <f t="shared" si="179"/>
        <v/>
      </c>
      <c r="BN177" s="62" t="str">
        <f t="shared" si="180"/>
        <v/>
      </c>
      <c r="BO177" s="62" t="str">
        <f t="shared" si="181"/>
        <v/>
      </c>
      <c r="BP177" s="62" t="str">
        <f t="shared" si="182"/>
        <v/>
      </c>
    </row>
    <row r="178" spans="1:68" x14ac:dyDescent="0.25">
      <c r="A178" s="30"/>
      <c r="Q178" s="12"/>
      <c r="R178" s="63">
        <f t="shared" si="155"/>
        <v>0</v>
      </c>
      <c r="S178" s="63">
        <f t="shared" si="156"/>
        <v>0</v>
      </c>
      <c r="T178" s="63">
        <f t="shared" si="157"/>
        <v>0</v>
      </c>
      <c r="U178" s="63">
        <f t="shared" si="158"/>
        <v>0</v>
      </c>
      <c r="W178" s="11"/>
      <c r="X178" s="11"/>
      <c r="Y178" s="11"/>
      <c r="AL178" s="14" t="s">
        <v>19</v>
      </c>
      <c r="AM178" s="14" t="s">
        <v>19</v>
      </c>
      <c r="AN178" s="14" t="s">
        <v>19</v>
      </c>
      <c r="AO178" s="14" t="s">
        <v>19</v>
      </c>
      <c r="AQ178" s="60">
        <v>20</v>
      </c>
      <c r="AS178" s="62" t="str">
        <f>IF(AL178="","",IF(OR(AL178="Fr",AL178="La",AL178="Sn"),IF(AL178&lt;&gt;IFERROR(VLOOKUP(Wahlbogen!$B$6,F!$A$2:$C$22,3,0),"Sp"),"",AL178),AL178))</f>
        <v/>
      </c>
      <c r="AT178" s="62" t="str">
        <f>IF(AM178="","",IF(OR(AM178="Fr",AM178="La",AM178="Sn"),IF(AM178&lt;&gt;IFERROR(VLOOKUP(Wahlbogen!$B$6,F!$A$2:$C$22,3,0),"Sp"),"",AM178),AM178))</f>
        <v/>
      </c>
      <c r="AU178" s="62" t="str">
        <f>IF(AN178="","",IF(OR(AN178="Fr",AN178="La",AN178="Sn"),IF(AN178&lt;&gt;IFERROR(VLOOKUP(Wahlbogen!$B$6,F!$A$2:$C$22,3,0),"Sp"),"",AN178),AN178))</f>
        <v/>
      </c>
      <c r="AV178" s="62" t="str">
        <f>IF(AO178="","",IF(OR(AO178="Fr",AO178="La",AO178="Sn"),IF(AO178&lt;&gt;IFERROR(VLOOKUP(Wahlbogen!$B$6,F!$A$2:$C$22,3,0),"Sp"),"",AO178),AO178))</f>
        <v/>
      </c>
      <c r="AX178" s="62" t="str">
        <f t="shared" si="159"/>
        <v/>
      </c>
      <c r="AY178" s="62" t="str">
        <f t="shared" si="169"/>
        <v/>
      </c>
      <c r="AZ178" s="62" t="str">
        <f t="shared" si="170"/>
        <v/>
      </c>
      <c r="BA178" s="62" t="str">
        <f t="shared" si="171"/>
        <v/>
      </c>
      <c r="BC178" s="62" t="str">
        <f t="shared" si="163"/>
        <v/>
      </c>
      <c r="BD178" s="62" t="str">
        <f t="shared" si="172"/>
        <v/>
      </c>
      <c r="BE178" s="62" t="str">
        <f t="shared" si="173"/>
        <v/>
      </c>
      <c r="BF178" s="62" t="str">
        <f t="shared" si="174"/>
        <v/>
      </c>
      <c r="BH178" s="62" t="str">
        <f t="shared" si="175"/>
        <v/>
      </c>
      <c r="BI178" s="62" t="str">
        <f t="shared" si="176"/>
        <v/>
      </c>
      <c r="BJ178" s="62" t="str">
        <f t="shared" si="177"/>
        <v/>
      </c>
      <c r="BK178" s="62" t="str">
        <f t="shared" si="178"/>
        <v/>
      </c>
      <c r="BM178" s="62" t="str">
        <f t="shared" si="179"/>
        <v/>
      </c>
      <c r="BN178" s="62" t="str">
        <f t="shared" si="180"/>
        <v/>
      </c>
      <c r="BO178" s="62" t="str">
        <f t="shared" si="181"/>
        <v/>
      </c>
      <c r="BP178" s="62" t="str">
        <f t="shared" si="182"/>
        <v/>
      </c>
    </row>
    <row r="179" spans="1:68" x14ac:dyDescent="0.25">
      <c r="A179" s="30"/>
      <c r="Q179" s="12"/>
      <c r="R179" s="63">
        <v>0</v>
      </c>
      <c r="S179" s="63">
        <v>0</v>
      </c>
      <c r="T179" s="63">
        <v>0</v>
      </c>
      <c r="U179" s="63">
        <v>0</v>
      </c>
      <c r="W179" s="11"/>
      <c r="X179" s="11"/>
      <c r="Y179" s="11"/>
    </row>
    <row r="180" spans="1:68" x14ac:dyDescent="0.25">
      <c r="A180" s="30"/>
      <c r="Q180" s="12"/>
      <c r="R180" s="63">
        <v>0</v>
      </c>
      <c r="S180" s="63">
        <v>0</v>
      </c>
      <c r="T180" s="63">
        <v>0</v>
      </c>
      <c r="U180" s="63">
        <v>0</v>
      </c>
      <c r="W180" s="11"/>
      <c r="X180" s="11"/>
      <c r="Y180" s="11"/>
    </row>
    <row r="181" spans="1:68" x14ac:dyDescent="0.25">
      <c r="A181" s="30"/>
      <c r="Q181" s="12"/>
      <c r="R181" s="63">
        <v>0</v>
      </c>
      <c r="S181" s="63">
        <v>0</v>
      </c>
      <c r="T181" s="63">
        <v>0</v>
      </c>
      <c r="U181" s="63">
        <v>0</v>
      </c>
      <c r="W181" s="11"/>
      <c r="X181" s="11"/>
      <c r="Y181" s="11"/>
    </row>
    <row r="182" spans="1:68" x14ac:dyDescent="0.25">
      <c r="A182" s="30"/>
      <c r="Q182" s="12"/>
      <c r="R182" s="63">
        <v>0</v>
      </c>
      <c r="S182" s="63">
        <v>0</v>
      </c>
      <c r="T182" s="63">
        <v>0</v>
      </c>
      <c r="U182" s="63">
        <v>0</v>
      </c>
      <c r="W182" s="11"/>
      <c r="X182" s="11"/>
      <c r="Y182" s="11"/>
    </row>
    <row r="183" spans="1:68" ht="18.75" x14ac:dyDescent="0.25">
      <c r="A183" s="30"/>
      <c r="Q183" s="12"/>
      <c r="R183" s="63">
        <v>0</v>
      </c>
      <c r="S183" s="63">
        <v>0</v>
      </c>
      <c r="T183" s="63">
        <v>0</v>
      </c>
      <c r="U183" s="63">
        <v>0</v>
      </c>
      <c r="W183" s="11"/>
      <c r="X183" s="11"/>
      <c r="Y183" s="11"/>
      <c r="AL183" s="10" t="s">
        <v>239</v>
      </c>
      <c r="AQ183" t="s">
        <v>237</v>
      </c>
      <c r="AS183" t="s">
        <v>232</v>
      </c>
      <c r="AX183" t="s">
        <v>233</v>
      </c>
      <c r="BC183" t="s">
        <v>234</v>
      </c>
      <c r="BH183" t="s">
        <v>235</v>
      </c>
      <c r="BM183" t="s">
        <v>236</v>
      </c>
    </row>
    <row r="184" spans="1:68" x14ac:dyDescent="0.25">
      <c r="A184" s="30"/>
      <c r="Q184" s="12"/>
      <c r="R184" s="63">
        <v>0</v>
      </c>
      <c r="S184" s="63">
        <v>0</v>
      </c>
      <c r="T184" s="63">
        <v>0</v>
      </c>
      <c r="U184" s="63">
        <v>0</v>
      </c>
      <c r="W184" s="11"/>
      <c r="X184" s="11"/>
      <c r="Y184" s="11"/>
      <c r="AN184" s="14" t="s">
        <v>46</v>
      </c>
      <c r="AQ184" s="60">
        <v>1</v>
      </c>
      <c r="AS184" s="62" t="str">
        <f>IF(AN184="","",IF(OR(AN184="Fr",AN184="La",AN184="Sn"),IF(AN184&lt;&gt;IFERROR(VLOOKUP(Wahlbogen!$B$6,F!$A$2:$C$22,3,0),"Sp"),"",AN184),AN184))</f>
        <v>En</v>
      </c>
      <c r="AX184" s="62">
        <f t="shared" ref="AX184:AX189" si="187">IFERROR(VLOOKUP(AS184,$C$2:$H$22,6,0),"")</f>
        <v>2</v>
      </c>
      <c r="BC184" s="62">
        <f>IFERROR(RANK(AX184,AX$184:AX$189,1),"")</f>
        <v>1</v>
      </c>
      <c r="BH184" s="62" t="str">
        <f>AS184</f>
        <v>En</v>
      </c>
      <c r="BM184" s="62" t="str">
        <f t="shared" ref="BM184:BM189" si="188">IFERROR(VLOOKUP($AQ184,BC$184:BH$189,6,0),"")</f>
        <v>En</v>
      </c>
    </row>
    <row r="185" spans="1:68" x14ac:dyDescent="0.25">
      <c r="A185" s="30"/>
      <c r="Q185" s="12"/>
      <c r="R185" s="63">
        <v>0</v>
      </c>
      <c r="S185" s="63">
        <v>0</v>
      </c>
      <c r="T185" s="63">
        <v>0</v>
      </c>
      <c r="U185" s="63">
        <v>0</v>
      </c>
      <c r="W185" s="11"/>
      <c r="X185" s="11"/>
      <c r="Y185" s="11"/>
      <c r="AN185" s="14" t="s">
        <v>49</v>
      </c>
      <c r="AQ185" s="60">
        <v>2</v>
      </c>
      <c r="AS185" s="62" t="str">
        <f>IF(AN185="","",IF(OR(AN185="Fr",AN185="La",AN185="Sn"),IF(AN185&lt;&gt;IFERROR(VLOOKUP(Wahlbogen!$B$6,F!$A$2:$C$22,3,0),"Sp"),"",AN185),AN185))</f>
        <v/>
      </c>
      <c r="AX185" s="62" t="str">
        <f t="shared" si="187"/>
        <v/>
      </c>
      <c r="BC185" s="62" t="str">
        <f t="shared" ref="BC185:BC189" si="189">IFERROR(RANK(AX185,AX$184:AX$189,1),"")</f>
        <v/>
      </c>
      <c r="BH185" s="62" t="str">
        <f t="shared" ref="BH185:BH189" si="190">AS185</f>
        <v/>
      </c>
      <c r="BM185" s="62" t="str">
        <f t="shared" si="188"/>
        <v/>
      </c>
    </row>
    <row r="186" spans="1:68" x14ac:dyDescent="0.25">
      <c r="A186" s="30"/>
      <c r="Q186" s="12"/>
      <c r="R186" s="63">
        <v>0</v>
      </c>
      <c r="S186" s="63">
        <v>0</v>
      </c>
      <c r="T186" s="63">
        <v>0</v>
      </c>
      <c r="U186" s="63">
        <v>0</v>
      </c>
      <c r="W186" s="11"/>
      <c r="X186" s="11"/>
      <c r="Y186" s="11"/>
      <c r="AN186" s="14" t="s">
        <v>54</v>
      </c>
      <c r="AQ186" s="60">
        <v>3</v>
      </c>
      <c r="AS186" s="62" t="str">
        <f>IF(AN186="","",IF(OR(AN186="Fr",AN186="La",AN186="Sn"),IF(AN186&lt;&gt;IFERROR(VLOOKUP(Wahlbogen!$B$6,F!$A$2:$C$22,3,0),"Sp"),"",AN186),AN186))</f>
        <v/>
      </c>
      <c r="AX186" s="62" t="str">
        <f t="shared" si="187"/>
        <v/>
      </c>
      <c r="BC186" s="62" t="str">
        <f t="shared" si="189"/>
        <v/>
      </c>
      <c r="BH186" s="62" t="str">
        <f t="shared" si="190"/>
        <v/>
      </c>
      <c r="BM186" s="62" t="str">
        <f t="shared" si="188"/>
        <v/>
      </c>
    </row>
    <row r="187" spans="1:68" x14ac:dyDescent="0.25">
      <c r="A187" s="30"/>
      <c r="Q187" s="12"/>
      <c r="R187" s="63">
        <v>0</v>
      </c>
      <c r="S187" s="63">
        <v>0</v>
      </c>
      <c r="T187" s="63">
        <v>0</v>
      </c>
      <c r="U187" s="63">
        <v>0</v>
      </c>
      <c r="W187" s="11"/>
      <c r="X187" s="11"/>
      <c r="Y187" s="11"/>
      <c r="AN187" s="14" t="s">
        <v>59</v>
      </c>
      <c r="AQ187" s="60">
        <v>4</v>
      </c>
      <c r="AS187" s="62" t="str">
        <f>IF(AN187="","",IF(OR(AN187="Fr",AN187="La",AN187="Sn"),IF(AN187&lt;&gt;IFERROR(VLOOKUP(Wahlbogen!$B$6,F!$A$2:$C$22,3,0),"Sp"),"",AN187),AN187))</f>
        <v/>
      </c>
      <c r="AX187" s="62" t="str">
        <f t="shared" si="187"/>
        <v/>
      </c>
      <c r="BC187" s="62" t="str">
        <f t="shared" si="189"/>
        <v/>
      </c>
      <c r="BH187" s="62" t="str">
        <f t="shared" si="190"/>
        <v/>
      </c>
      <c r="BM187" s="62" t="str">
        <f t="shared" si="188"/>
        <v/>
      </c>
    </row>
    <row r="188" spans="1:68" x14ac:dyDescent="0.25">
      <c r="A188" s="30"/>
      <c r="Q188" s="12"/>
      <c r="W188" s="11"/>
      <c r="X188" s="11"/>
      <c r="Y188" s="11"/>
      <c r="AM188" t="s">
        <v>19</v>
      </c>
      <c r="AN188" s="14" t="s">
        <v>19</v>
      </c>
      <c r="AO188" t="s">
        <v>19</v>
      </c>
      <c r="AQ188" s="60">
        <v>5</v>
      </c>
      <c r="AS188" s="62" t="str">
        <f>IF(AN188="","",IF(OR(AN188="Fr",AN188="La",AN188="Sn"),IF(AN188&lt;&gt;IFERROR(VLOOKUP(Wahlbogen!$B$6,F!$A$2:$C$22,3,0),"Sp"),"",AN188),AN188))</f>
        <v/>
      </c>
      <c r="AX188" s="62" t="str">
        <f t="shared" si="187"/>
        <v/>
      </c>
      <c r="BC188" s="62" t="str">
        <f t="shared" si="189"/>
        <v/>
      </c>
      <c r="BH188" s="62" t="str">
        <f t="shared" si="190"/>
        <v/>
      </c>
      <c r="BM188" s="62" t="str">
        <f t="shared" si="188"/>
        <v/>
      </c>
    </row>
    <row r="189" spans="1:68" x14ac:dyDescent="0.25">
      <c r="A189" s="30"/>
      <c r="Q189" s="12"/>
      <c r="AM189" t="s">
        <v>19</v>
      </c>
      <c r="AN189" s="14" t="s">
        <v>19</v>
      </c>
      <c r="AO189" t="s">
        <v>19</v>
      </c>
      <c r="AQ189" s="60">
        <v>6</v>
      </c>
      <c r="AS189" s="62" t="str">
        <f>IF(AN189="","",IF(OR(AN189="Fr",AN189="La",AN189="Sn"),IF(AN189&lt;&gt;IFERROR(VLOOKUP(Wahlbogen!$B$6,F!$A$2:$C$22,3,0),"Sp"),"",AN189),AN189))</f>
        <v/>
      </c>
      <c r="AX189" s="62" t="str">
        <f t="shared" si="187"/>
        <v/>
      </c>
      <c r="BC189" s="62" t="str">
        <f t="shared" si="189"/>
        <v/>
      </c>
      <c r="BH189" s="62" t="str">
        <f t="shared" si="190"/>
        <v/>
      </c>
      <c r="BM189" s="62" t="str">
        <f t="shared" si="188"/>
        <v/>
      </c>
    </row>
    <row r="190" spans="1:68" x14ac:dyDescent="0.25">
      <c r="A190" s="30"/>
      <c r="Q190" s="12"/>
      <c r="AL190" t="s">
        <v>19</v>
      </c>
      <c r="AM190" t="s">
        <v>19</v>
      </c>
      <c r="AN190" t="s">
        <v>19</v>
      </c>
      <c r="AO190" t="s">
        <v>19</v>
      </c>
    </row>
    <row r="191" spans="1:68" ht="18.75" x14ac:dyDescent="0.25">
      <c r="A191" s="30"/>
      <c r="Q191" s="12"/>
      <c r="R191" s="10" t="s">
        <v>118</v>
      </c>
      <c r="AL191" s="10" t="s">
        <v>118</v>
      </c>
      <c r="AM191" s="8"/>
      <c r="AN191" s="8"/>
      <c r="AO191" s="8"/>
    </row>
    <row r="192" spans="1:68" ht="15.75" thickBot="1" x14ac:dyDescent="0.3">
      <c r="A192" s="30"/>
      <c r="Q192" s="12"/>
      <c r="R192" s="31" t="s">
        <v>125</v>
      </c>
      <c r="S192" s="31"/>
      <c r="T192" s="31"/>
      <c r="U192" s="31"/>
      <c r="AL192" s="31" t="s">
        <v>125</v>
      </c>
      <c r="AM192" s="31"/>
      <c r="AN192" s="31" t="s">
        <v>278</v>
      </c>
      <c r="AO192" s="31"/>
      <c r="AS192" t="s">
        <v>232</v>
      </c>
      <c r="AX192" t="s">
        <v>233</v>
      </c>
      <c r="BC192" t="s">
        <v>234</v>
      </c>
      <c r="BH192" t="s">
        <v>235</v>
      </c>
      <c r="BM192" t="s">
        <v>236</v>
      </c>
    </row>
    <row r="193" spans="1:65" x14ac:dyDescent="0.25">
      <c r="A193" s="30"/>
      <c r="Q193" s="12"/>
      <c r="R193" s="64" t="str">
        <f>IFERROR(VLOOKUP(AL193,$E$2:$G$22,3,0),0)</f>
        <v>Kunst</v>
      </c>
      <c r="AL193" s="32" t="s">
        <v>53</v>
      </c>
      <c r="AM193" s="8"/>
      <c r="AN193" s="14" t="s">
        <v>51</v>
      </c>
      <c r="AO193" s="8"/>
      <c r="AQ193" s="60">
        <v>1</v>
      </c>
      <c r="AS193" s="62" t="str">
        <f>IF(AN193="","",IF(OR(AN193="Fr",AN193="La",AN193="Sn",AN193="Gr"),IF(AN193&lt;&gt;IFERROR(VLOOKUP(Wahlbogen!$B$7,F!$A$2:$C$22,3,0),"Sp"),"",AN193),AN193))</f>
        <v/>
      </c>
      <c r="AX193" s="62" t="str">
        <f t="shared" ref="AX193:AX198" si="191">IFERROR(VLOOKUP(AS193,$C$2:$H$22,6,0),"")</f>
        <v/>
      </c>
      <c r="BC193" s="62" t="str">
        <f>IFERROR(RANK(AX193,AX$193:AX$198,1),"")</f>
        <v/>
      </c>
      <c r="BH193" s="62" t="str">
        <f>AS193</f>
        <v/>
      </c>
      <c r="BM193" s="62" t="str">
        <f>IFERROR(VLOOKUP($AQ193,BC$193:BH$198,6,0),"")</f>
        <v/>
      </c>
    </row>
    <row r="194" spans="1:65" x14ac:dyDescent="0.25">
      <c r="A194" s="30"/>
      <c r="Q194" s="12"/>
      <c r="R194" s="65" t="str">
        <f t="shared" ref="R194:R197" si="192">IFERROR(VLOOKUP(AL194,$E$2:$G$22,3,0),0)</f>
        <v>Musik</v>
      </c>
      <c r="AB194" s="18"/>
      <c r="AL194" s="33" t="s">
        <v>56</v>
      </c>
      <c r="AM194" s="8"/>
      <c r="AN194" s="14" t="s">
        <v>59</v>
      </c>
      <c r="AO194" s="8"/>
      <c r="AQ194" s="60">
        <v>2</v>
      </c>
      <c r="AS194" s="62" t="str">
        <f>IF(AN194="","",IF(OR(AN194="Fr",AN194="La",AN194="Sn",AN194="Gr"),IF(AN194&lt;&gt;IFERROR(VLOOKUP(Wahlbogen!$B$7,F!$A$2:$C$22,3,0),"Sp"),"",AN194),AN194))</f>
        <v/>
      </c>
      <c r="AX194" s="62" t="str">
        <f t="shared" si="191"/>
        <v/>
      </c>
      <c r="BC194" s="62" t="str">
        <f t="shared" ref="BC194:BC198" si="193">IFERROR(RANK(AX194,AX$193:AX$198,1),"")</f>
        <v/>
      </c>
      <c r="BH194" s="62" t="str">
        <f t="shared" ref="BH194:BH198" si="194">AS194</f>
        <v/>
      </c>
      <c r="BM194" s="62" t="str">
        <f t="shared" ref="BM194:BM198" si="195">IFERROR(VLOOKUP($AQ194,BC$193:BH$198,6,0),"")</f>
        <v/>
      </c>
    </row>
    <row r="195" spans="1:65" x14ac:dyDescent="0.25">
      <c r="A195" s="30"/>
      <c r="Q195" s="12"/>
      <c r="R195" s="65" t="str">
        <f t="shared" si="192"/>
        <v>Darstellendes Spiel</v>
      </c>
      <c r="AB195" s="18"/>
      <c r="AL195" s="33" t="s">
        <v>36</v>
      </c>
      <c r="AM195" s="8"/>
      <c r="AN195" s="14"/>
      <c r="AO195" s="8"/>
      <c r="AQ195" s="60">
        <v>3</v>
      </c>
      <c r="AS195" s="62" t="str">
        <f>IF(AN195="","",IF(OR(AN195="Fr",AN195="La",AN195="Sn",AN195="Gr"),IF(AN195&lt;&gt;IFERROR(VLOOKUP(Wahlbogen!$B$7,F!$A$2:$C$22,3,0),"Sp"),"",AN195),AN195))</f>
        <v/>
      </c>
      <c r="AX195" s="62" t="str">
        <f t="shared" si="191"/>
        <v/>
      </c>
      <c r="BC195" s="62" t="str">
        <f t="shared" si="193"/>
        <v/>
      </c>
      <c r="BH195" s="62" t="str">
        <f t="shared" si="194"/>
        <v/>
      </c>
      <c r="BM195" s="62" t="str">
        <f t="shared" si="195"/>
        <v/>
      </c>
    </row>
    <row r="196" spans="1:65" x14ac:dyDescent="0.25">
      <c r="A196" s="30"/>
      <c r="Q196" s="12"/>
      <c r="R196" s="65">
        <f t="shared" si="192"/>
        <v>0</v>
      </c>
      <c r="AL196" s="33"/>
      <c r="AM196" s="8"/>
      <c r="AN196" s="14"/>
      <c r="AO196" s="8"/>
      <c r="AQ196" s="60">
        <v>4</v>
      </c>
      <c r="AS196" s="62" t="str">
        <f>IF(AN196="","",IF(OR(AN196="Fr",AN196="La",AN196="Sn",AN196="Gr"),IF(AN196&lt;&gt;IFERROR(VLOOKUP(Wahlbogen!$B$7,F!$A$2:$C$22,3,0),"Sp"),"",AN196),AN196))</f>
        <v/>
      </c>
      <c r="AX196" s="62" t="str">
        <f t="shared" si="191"/>
        <v/>
      </c>
      <c r="BC196" s="62" t="str">
        <f t="shared" si="193"/>
        <v/>
      </c>
      <c r="BH196" s="62" t="str">
        <f t="shared" si="194"/>
        <v/>
      </c>
      <c r="BM196" s="62" t="str">
        <f t="shared" si="195"/>
        <v/>
      </c>
    </row>
    <row r="197" spans="1:65" ht="15.75" thickBot="1" x14ac:dyDescent="0.3">
      <c r="A197" s="30"/>
      <c r="Q197" s="12"/>
      <c r="R197" s="66">
        <f t="shared" si="192"/>
        <v>0</v>
      </c>
      <c r="AL197" s="34"/>
      <c r="AM197" s="8"/>
      <c r="AN197" s="14" t="s">
        <v>19</v>
      </c>
      <c r="AO197" s="8"/>
      <c r="AQ197" s="60">
        <v>5</v>
      </c>
      <c r="AS197" s="62" t="str">
        <f>IF(AN197="","",IF(OR(AN197="Fr",AN197="La",AN197="Sn",AN197="Gr"),IF(AN197&lt;&gt;IFERROR(VLOOKUP(Wahlbogen!$B$7,F!$A$2:$C$22,3,0),"Sp"),"",AN197),AN197))</f>
        <v/>
      </c>
      <c r="AX197" s="62" t="str">
        <f t="shared" si="191"/>
        <v/>
      </c>
      <c r="BC197" s="62" t="str">
        <f t="shared" si="193"/>
        <v/>
      </c>
      <c r="BH197" s="62" t="str">
        <f t="shared" si="194"/>
        <v/>
      </c>
      <c r="BM197" s="62" t="str">
        <f t="shared" si="195"/>
        <v/>
      </c>
    </row>
    <row r="198" spans="1:65" x14ac:dyDescent="0.25">
      <c r="A198" s="30"/>
      <c r="Q198" s="12"/>
      <c r="AL198" s="8"/>
      <c r="AM198" s="8"/>
      <c r="AN198" s="14" t="s">
        <v>19</v>
      </c>
      <c r="AO198" s="8"/>
      <c r="AQ198" s="60">
        <v>6</v>
      </c>
      <c r="AS198" s="62" t="str">
        <f>IF(AN198="","",IF(OR(AN198="Fr",AN198="La",AN198="Sn",AN198="Gr"),IF(AN198&lt;&gt;IFERROR(VLOOKUP(Wahlbogen!$B$7,F!$A$2:$C$22,3,0),"Sp"),"",AN198),AN198))</f>
        <v/>
      </c>
      <c r="AX198" s="62" t="str">
        <f t="shared" si="191"/>
        <v/>
      </c>
      <c r="BC198" s="62" t="str">
        <f t="shared" si="193"/>
        <v/>
      </c>
      <c r="BH198" s="62" t="str">
        <f t="shared" si="194"/>
        <v/>
      </c>
      <c r="BM198" s="62" t="str">
        <f t="shared" si="195"/>
        <v/>
      </c>
    </row>
    <row r="199" spans="1:65" x14ac:dyDescent="0.25">
      <c r="A199" s="30"/>
      <c r="Q199" s="12"/>
      <c r="AL199" s="8"/>
      <c r="AM199" s="8"/>
      <c r="AN199" s="8"/>
      <c r="AO199" s="8"/>
    </row>
    <row r="200" spans="1:65" x14ac:dyDescent="0.25">
      <c r="A200" s="30"/>
      <c r="Q200" s="12"/>
      <c r="AL200" s="8"/>
      <c r="AM200" s="8"/>
      <c r="AN200" s="8"/>
      <c r="AO200" s="8"/>
    </row>
    <row r="201" spans="1:65" ht="15.75" thickBot="1" x14ac:dyDescent="0.3">
      <c r="A201" s="30"/>
      <c r="Q201" s="12"/>
      <c r="AL201" s="8"/>
      <c r="AM201" s="8"/>
      <c r="AN201" s="8"/>
      <c r="AO201" s="8"/>
    </row>
    <row r="202" spans="1:65" x14ac:dyDescent="0.25">
      <c r="A202" s="30"/>
      <c r="Q202" s="12"/>
      <c r="R202" s="64" t="str">
        <f>IFERROR(VLOOKUP(AL202,$E$2:$G$22,3,0),0)</f>
        <v>Ev. Religion</v>
      </c>
      <c r="AL202" s="32" t="s">
        <v>48</v>
      </c>
      <c r="AM202" s="8"/>
      <c r="AN202" s="8"/>
      <c r="AO202" s="8"/>
    </row>
    <row r="203" spans="1:65" ht="18.75" x14ac:dyDescent="0.25">
      <c r="A203" s="30"/>
      <c r="Q203" s="12"/>
      <c r="R203" s="65" t="str">
        <f t="shared" ref="R203:R206" si="196">IFERROR(VLOOKUP(AL203,$E$2:$G$22,3,0),0)</f>
        <v>Werte und Normen</v>
      </c>
      <c r="T203" s="10" t="s">
        <v>134</v>
      </c>
      <c r="AL203" s="33" t="s">
        <v>60</v>
      </c>
      <c r="AM203" s="8"/>
      <c r="AN203" s="10" t="s">
        <v>134</v>
      </c>
      <c r="AO203" s="8"/>
    </row>
    <row r="204" spans="1:65" ht="15.75" thickBot="1" x14ac:dyDescent="0.3">
      <c r="A204" s="30"/>
      <c r="Q204" s="12"/>
      <c r="R204" s="65">
        <f t="shared" si="196"/>
        <v>0</v>
      </c>
      <c r="AL204" s="33"/>
      <c r="AM204" s="8"/>
      <c r="AN204" s="8"/>
      <c r="AO204" s="8"/>
      <c r="AQ204" t="s">
        <v>237</v>
      </c>
      <c r="AS204" t="s">
        <v>232</v>
      </c>
      <c r="AX204" t="s">
        <v>233</v>
      </c>
      <c r="BC204" t="s">
        <v>234</v>
      </c>
      <c r="BH204" t="s">
        <v>235</v>
      </c>
      <c r="BM204" t="s">
        <v>236</v>
      </c>
    </row>
    <row r="205" spans="1:65" x14ac:dyDescent="0.25">
      <c r="A205" s="30"/>
      <c r="Q205" s="12"/>
      <c r="R205" s="65">
        <f t="shared" si="196"/>
        <v>0</v>
      </c>
      <c r="T205" s="64" t="str">
        <f>IFERROR(VLOOKUP(BM205,$E$2:$G$22,3,0),0)</f>
        <v>Englisch</v>
      </c>
      <c r="AL205" s="33"/>
      <c r="AM205" s="8"/>
      <c r="AN205" s="32" t="s">
        <v>46</v>
      </c>
      <c r="AO205" s="8"/>
      <c r="AQ205" s="60">
        <v>1</v>
      </c>
      <c r="AS205" s="62" t="str">
        <f>IF(AN205="","",IF(OR(AN205="Fr",AN205="La",AN205="Sn"),IF(AN205&lt;&gt;IFERROR(VLOOKUP(Wahlbogen!$B$6,F!$A$2:$C$22,3,0),"Sp"),"",AN205),AN205))</f>
        <v>En</v>
      </c>
      <c r="AX205" s="62">
        <f t="shared" ref="AX205:AX215" si="197">IFERROR(VLOOKUP(AS205,$C$2:$H$22,6,0),"")</f>
        <v>2</v>
      </c>
      <c r="BC205" s="62">
        <f>IFERROR(RANK(AX205,AX$205:AX$215,1),"")</f>
        <v>1</v>
      </c>
      <c r="BH205" s="62" t="str">
        <f>AS205</f>
        <v>En</v>
      </c>
      <c r="BM205" s="62" t="str">
        <f>IFERROR(VLOOKUP($AQ205,BC$205:BH$215,6,0),"")</f>
        <v>En</v>
      </c>
    </row>
    <row r="206" spans="1:65" ht="15.75" thickBot="1" x14ac:dyDescent="0.3">
      <c r="A206" s="30"/>
      <c r="Q206" s="12"/>
      <c r="R206" s="66">
        <f t="shared" si="196"/>
        <v>0</v>
      </c>
      <c r="T206" s="65">
        <f t="shared" ref="T206:T215" si="198">IFERROR(VLOOKUP(BM206,$E$2:$G$22,3,0),0)</f>
        <v>0</v>
      </c>
      <c r="AL206" s="34"/>
      <c r="AM206" s="8"/>
      <c r="AN206" s="33" t="s">
        <v>49</v>
      </c>
      <c r="AO206" s="8"/>
      <c r="AQ206" s="60">
        <v>2</v>
      </c>
      <c r="AS206" s="62" t="str">
        <f>IF(AN206="","",IF(OR(AN206="Fr",AN206="La",AN206="Sn"),IF(AN206&lt;&gt;IFERROR(VLOOKUP(Wahlbogen!$B$6,F!$A$2:$C$22,3,0),"Sp"),"",AN206),AN206))</f>
        <v/>
      </c>
      <c r="AX206" s="62" t="str">
        <f t="shared" si="197"/>
        <v/>
      </c>
      <c r="BC206" s="62" t="str">
        <f t="shared" ref="BC206:BC215" si="199">IFERROR(RANK(AX206,AX$205:AX$215,1),"")</f>
        <v/>
      </c>
      <c r="BH206" s="62" t="str">
        <f t="shared" ref="BH206:BH215" si="200">AS206</f>
        <v/>
      </c>
      <c r="BM206" s="62" t="str">
        <f t="shared" ref="BM206:BM215" si="201">IFERROR(VLOOKUP($AQ206,BC$205:BH$215,6,0),"")</f>
        <v/>
      </c>
    </row>
    <row r="207" spans="1:65" x14ac:dyDescent="0.25">
      <c r="A207" s="30"/>
      <c r="T207" s="65">
        <f t="shared" si="198"/>
        <v>0</v>
      </c>
      <c r="AL207" s="8"/>
      <c r="AM207" s="8"/>
      <c r="AN207" s="33" t="s">
        <v>54</v>
      </c>
      <c r="AO207" s="8"/>
      <c r="AQ207" s="60">
        <v>3</v>
      </c>
      <c r="AS207" s="62" t="str">
        <f>IF(AN207="","",IF(OR(AN207="Fr",AN207="La",AN207="Sn"),IF(AN207&lt;&gt;IFERROR(VLOOKUP(Wahlbogen!$B$6,F!$A$2:$C$22,3,0),"Sp"),"",AN207),AN207))</f>
        <v/>
      </c>
      <c r="AX207" s="62" t="str">
        <f t="shared" si="197"/>
        <v/>
      </c>
      <c r="BC207" s="62" t="str">
        <f t="shared" si="199"/>
        <v/>
      </c>
      <c r="BH207" s="62" t="str">
        <f t="shared" si="200"/>
        <v/>
      </c>
      <c r="BM207" s="62" t="str">
        <f t="shared" si="201"/>
        <v/>
      </c>
    </row>
    <row r="208" spans="1:65" x14ac:dyDescent="0.25">
      <c r="A208" s="30"/>
      <c r="T208" s="65">
        <f t="shared" si="198"/>
        <v>0</v>
      </c>
      <c r="AL208" s="8"/>
      <c r="AM208" s="8"/>
      <c r="AN208" s="33" t="s">
        <v>59</v>
      </c>
      <c r="AO208" s="8"/>
      <c r="AQ208" s="60">
        <v>4</v>
      </c>
      <c r="AS208" s="62" t="str">
        <f>IF(AN208="","",IF(OR(AN208="Fr",AN208="La",AN208="Sn"),IF(AN208&lt;&gt;IFERROR(VLOOKUP(Wahlbogen!$B$6,F!$A$2:$C$22,3,0),"Sp"),"",AN208),AN208))</f>
        <v/>
      </c>
      <c r="AX208" s="62" t="str">
        <f t="shared" si="197"/>
        <v/>
      </c>
      <c r="BC208" s="62" t="str">
        <f t="shared" si="199"/>
        <v/>
      </c>
      <c r="BH208" s="62" t="str">
        <f t="shared" si="200"/>
        <v/>
      </c>
      <c r="BM208" s="62" t="str">
        <f t="shared" si="201"/>
        <v/>
      </c>
    </row>
    <row r="209" spans="1:68" x14ac:dyDescent="0.25">
      <c r="A209" s="30"/>
      <c r="T209" s="65">
        <f t="shared" si="198"/>
        <v>0</v>
      </c>
      <c r="AL209" s="8"/>
      <c r="AM209" s="8"/>
      <c r="AN209" s="33"/>
      <c r="AO209" s="8"/>
      <c r="AQ209" s="60">
        <v>5</v>
      </c>
      <c r="AS209" s="62" t="str">
        <f>IF(AN209="","",IF(OR(AN209="Fr",AN209="La",AN209="Sn"),IF(AN209&lt;&gt;IFERROR(VLOOKUP(Wahlbogen!$B$6,F!$A$2:$C$22,3,0),"Sp"),"",AN209),AN209))</f>
        <v/>
      </c>
      <c r="AX209" s="62" t="str">
        <f t="shared" si="197"/>
        <v/>
      </c>
      <c r="BC209" s="62" t="str">
        <f t="shared" si="199"/>
        <v/>
      </c>
      <c r="BH209" s="62" t="str">
        <f t="shared" si="200"/>
        <v/>
      </c>
      <c r="BM209" s="62" t="str">
        <f t="shared" si="201"/>
        <v/>
      </c>
    </row>
    <row r="210" spans="1:68" x14ac:dyDescent="0.25">
      <c r="A210" s="30"/>
      <c r="T210" s="65">
        <f t="shared" si="198"/>
        <v>0</v>
      </c>
      <c r="AL210" s="8"/>
      <c r="AM210" s="8"/>
      <c r="AN210" s="33"/>
      <c r="AO210" s="8"/>
      <c r="AQ210" s="60">
        <v>6</v>
      </c>
      <c r="AS210" s="62" t="str">
        <f>IF(AN210="","",IF(OR(AN210="Fr",AN210="La",AN210="Sn"),IF(AN210&lt;&gt;IFERROR(VLOOKUP(Wahlbogen!$B$6,F!$A$2:$C$22,3,0),"Sp"),"",AN210),AN210))</f>
        <v/>
      </c>
      <c r="AX210" s="62" t="str">
        <f t="shared" si="197"/>
        <v/>
      </c>
      <c r="BC210" s="62" t="str">
        <f t="shared" si="199"/>
        <v/>
      </c>
      <c r="BH210" s="62" t="str">
        <f t="shared" si="200"/>
        <v/>
      </c>
      <c r="BM210" s="62" t="str">
        <f t="shared" si="201"/>
        <v/>
      </c>
    </row>
    <row r="211" spans="1:68" x14ac:dyDescent="0.25">
      <c r="A211" s="30"/>
      <c r="T211" s="65">
        <f t="shared" si="198"/>
        <v>0</v>
      </c>
      <c r="AL211" s="8"/>
      <c r="AM211" s="8"/>
      <c r="AN211" s="33"/>
      <c r="AO211" s="8"/>
      <c r="AQ211" s="60">
        <v>7</v>
      </c>
      <c r="AS211" s="62" t="str">
        <f>IF(AN211="","",IF(OR(AN211="Fr",AN211="La",AN211="Sn"),IF(AN211&lt;&gt;IFERROR(VLOOKUP(Wahlbogen!$B$6,F!$A$2:$C$22,3,0),"Sp"),"",AN211),AN211))</f>
        <v/>
      </c>
      <c r="AX211" s="62" t="str">
        <f t="shared" si="197"/>
        <v/>
      </c>
      <c r="BC211" s="62" t="str">
        <f t="shared" si="199"/>
        <v/>
      </c>
      <c r="BH211" s="62" t="str">
        <f t="shared" si="200"/>
        <v/>
      </c>
      <c r="BM211" s="62" t="str">
        <f t="shared" si="201"/>
        <v/>
      </c>
    </row>
    <row r="212" spans="1:68" x14ac:dyDescent="0.25">
      <c r="A212" s="30"/>
      <c r="T212" s="65">
        <f t="shared" si="198"/>
        <v>0</v>
      </c>
      <c r="AL212" s="8"/>
      <c r="AM212" s="8"/>
      <c r="AN212" s="33"/>
      <c r="AO212" s="8"/>
      <c r="AQ212" s="60">
        <v>8</v>
      </c>
      <c r="AS212" s="62" t="str">
        <f>IF(AN212="","",IF(OR(AN212="Fr",AN212="La",AN212="Sn"),IF(AN212&lt;&gt;IFERROR(VLOOKUP(Wahlbogen!$B$6,F!$A$2:$C$22,3,0),"Sp"),"",AN212),AN212))</f>
        <v/>
      </c>
      <c r="AX212" s="62" t="str">
        <f t="shared" si="197"/>
        <v/>
      </c>
      <c r="BC212" s="62" t="str">
        <f t="shared" si="199"/>
        <v/>
      </c>
      <c r="BH212" s="62" t="str">
        <f t="shared" si="200"/>
        <v/>
      </c>
      <c r="BM212" s="62" t="str">
        <f t="shared" si="201"/>
        <v/>
      </c>
    </row>
    <row r="213" spans="1:68" x14ac:dyDescent="0.25">
      <c r="A213" s="30"/>
      <c r="T213" s="65">
        <f t="shared" si="198"/>
        <v>0</v>
      </c>
      <c r="AL213" s="8"/>
      <c r="AM213" s="8"/>
      <c r="AN213" s="33"/>
      <c r="AO213" s="8"/>
      <c r="AQ213" s="60">
        <v>9</v>
      </c>
      <c r="AS213" s="62" t="str">
        <f>IF(AN213="","",IF(OR(AN213="Fr",AN213="La",AN213="Sn"),IF(AN213&lt;&gt;IFERROR(VLOOKUP(Wahlbogen!$B$6,F!$A$2:$C$22,3,0),"Sp"),"",AN213),AN213))</f>
        <v/>
      </c>
      <c r="AX213" s="62" t="str">
        <f t="shared" si="197"/>
        <v/>
      </c>
      <c r="BC213" s="62" t="str">
        <f t="shared" si="199"/>
        <v/>
      </c>
      <c r="BH213" s="62" t="str">
        <f t="shared" si="200"/>
        <v/>
      </c>
      <c r="BM213" s="62" t="str">
        <f t="shared" si="201"/>
        <v/>
      </c>
    </row>
    <row r="214" spans="1:68" x14ac:dyDescent="0.25">
      <c r="A214" s="30"/>
      <c r="T214" s="65">
        <f t="shared" si="198"/>
        <v>0</v>
      </c>
      <c r="AL214" s="8"/>
      <c r="AM214" s="8"/>
      <c r="AN214" s="33"/>
      <c r="AO214" s="8"/>
      <c r="AQ214" s="60">
        <v>10</v>
      </c>
      <c r="AS214" s="62" t="str">
        <f>IF(AN214="","",IF(OR(AN214="Fr",AN214="La",AN214="Sn"),IF(AN214&lt;&gt;IFERROR(VLOOKUP(Wahlbogen!$B$6,F!$A$2:$C$22,3,0),"Sp"),"",AN214),AN214))</f>
        <v/>
      </c>
      <c r="AX214" s="62" t="str">
        <f t="shared" si="197"/>
        <v/>
      </c>
      <c r="BC214" s="62" t="str">
        <f t="shared" si="199"/>
        <v/>
      </c>
      <c r="BH214" s="62" t="str">
        <f t="shared" si="200"/>
        <v/>
      </c>
      <c r="BM214" s="62" t="str">
        <f t="shared" si="201"/>
        <v/>
      </c>
    </row>
    <row r="215" spans="1:68" ht="15.75" thickBot="1" x14ac:dyDescent="0.3">
      <c r="A215" s="30"/>
      <c r="T215" s="66">
        <f t="shared" si="198"/>
        <v>0</v>
      </c>
      <c r="AL215" s="8"/>
      <c r="AM215" s="8"/>
      <c r="AN215" s="34"/>
      <c r="AO215" s="8"/>
      <c r="AQ215" s="60">
        <v>11</v>
      </c>
      <c r="AS215" s="62" t="str">
        <f>IF(AN215="","",IF(OR(AN215="Fr",AN215="La",AN215="Sn"),IF(AN215&lt;&gt;IFERROR(VLOOKUP(Wahlbogen!$B$6,F!$A$2:$C$22,3,0),"Sp"),"",AN215),AN215))</f>
        <v/>
      </c>
      <c r="AX215" s="62" t="str">
        <f t="shared" si="197"/>
        <v/>
      </c>
      <c r="BC215" s="62" t="str">
        <f t="shared" si="199"/>
        <v/>
      </c>
      <c r="BH215" s="62" t="str">
        <f t="shared" si="200"/>
        <v/>
      </c>
      <c r="BM215" s="62" t="str">
        <f t="shared" si="201"/>
        <v/>
      </c>
    </row>
    <row r="216" spans="1:68" x14ac:dyDescent="0.25">
      <c r="A216" s="30"/>
      <c r="AL216" t="s">
        <v>19</v>
      </c>
      <c r="AM216" t="s">
        <v>19</v>
      </c>
      <c r="AN216" t="s">
        <v>19</v>
      </c>
      <c r="AO216" t="s">
        <v>19</v>
      </c>
    </row>
    <row r="217" spans="1:68" x14ac:dyDescent="0.25">
      <c r="A217" s="30"/>
      <c r="AL217" t="s">
        <v>19</v>
      </c>
      <c r="AM217" t="s">
        <v>19</v>
      </c>
      <c r="AN217" t="s">
        <v>19</v>
      </c>
      <c r="AO217" t="s">
        <v>19</v>
      </c>
    </row>
    <row r="218" spans="1:68" ht="18.75" x14ac:dyDescent="0.25">
      <c r="A218" s="30"/>
      <c r="R218" s="10" t="s">
        <v>165</v>
      </c>
      <c r="AL218" s="10" t="s">
        <v>165</v>
      </c>
      <c r="AM218" s="8"/>
      <c r="AN218" s="8"/>
      <c r="AO218" s="8"/>
    </row>
    <row r="219" spans="1:68" x14ac:dyDescent="0.25">
      <c r="A219" s="30"/>
      <c r="R219" s="15" t="s">
        <v>99</v>
      </c>
      <c r="S219" s="15" t="s">
        <v>100</v>
      </c>
      <c r="T219" s="15" t="s">
        <v>101</v>
      </c>
      <c r="U219" s="15" t="s">
        <v>102</v>
      </c>
      <c r="AL219" s="15" t="s">
        <v>99</v>
      </c>
      <c r="AM219" s="15" t="s">
        <v>100</v>
      </c>
      <c r="AN219" s="15" t="s">
        <v>101</v>
      </c>
      <c r="AO219" s="15" t="s">
        <v>102</v>
      </c>
      <c r="AQ219" t="s">
        <v>237</v>
      </c>
      <c r="AS219" t="s">
        <v>232</v>
      </c>
      <c r="AX219" t="s">
        <v>233</v>
      </c>
      <c r="BC219" t="s">
        <v>234</v>
      </c>
      <c r="BH219" t="s">
        <v>235</v>
      </c>
      <c r="BM219" t="s">
        <v>236</v>
      </c>
    </row>
    <row r="220" spans="1:68" x14ac:dyDescent="0.25">
      <c r="A220" s="30"/>
      <c r="R220" s="63" t="str">
        <f t="shared" ref="R220:R248" si="202">IFERROR(VLOOKUP(BM220,$E$2:$G$22,3,0),0)</f>
        <v>Deutsch</v>
      </c>
      <c r="S220" s="63" t="str">
        <f t="shared" ref="S220:S248" si="203">IFERROR(VLOOKUP(BN220,$E$2:$G$22,3,0),0)</f>
        <v>Deutsch</v>
      </c>
      <c r="T220" s="63" t="str">
        <f t="shared" ref="T220:T248" si="204">IFERROR(VLOOKUP(BO220,$E$2:$G$22,3,0),0)</f>
        <v>Deutsch</v>
      </c>
      <c r="U220" s="63" t="str">
        <f t="shared" ref="U220:U248" si="205">IFERROR(VLOOKUP(BP220,$E$2:$G$22,3,0),0)</f>
        <v>Deutsch</v>
      </c>
      <c r="V220" s="11" t="str">
        <f t="shared" ref="V220:V225" si="206">IF(AND(R220="",R221="",R222=""),ROW(),"")</f>
        <v/>
      </c>
      <c r="W220" s="11" t="str">
        <f t="shared" ref="W220:W225" si="207">IF(AND(S220="",S221="",S222=""),ROW(),"")</f>
        <v/>
      </c>
      <c r="X220" s="11" t="str">
        <f t="shared" ref="X220:X225" si="208">IF(AND(T220="",T221="",T222=""),ROW(),"")</f>
        <v/>
      </c>
      <c r="Y220" s="11" t="str">
        <f t="shared" ref="Y220:Y225" si="209">IF(AND(U220="",U221="",U222=""),ROW(),"")</f>
        <v/>
      </c>
      <c r="Z220" s="17"/>
      <c r="AA220" s="17">
        <v>1</v>
      </c>
      <c r="AB220" s="17">
        <v>2</v>
      </c>
      <c r="AC220" s="17">
        <v>3</v>
      </c>
      <c r="AD220" s="17">
        <v>4</v>
      </c>
      <c r="AE220" s="17"/>
      <c r="AF220" s="17">
        <v>1</v>
      </c>
      <c r="AG220" s="17">
        <v>2</v>
      </c>
      <c r="AH220" s="17">
        <v>3</v>
      </c>
      <c r="AI220" s="17">
        <v>4</v>
      </c>
      <c r="AL220" s="14" t="s">
        <v>45</v>
      </c>
      <c r="AM220" s="14" t="s">
        <v>45</v>
      </c>
      <c r="AN220" s="14" t="s">
        <v>45</v>
      </c>
      <c r="AO220" s="14" t="s">
        <v>45</v>
      </c>
      <c r="AQ220" s="60">
        <v>1</v>
      </c>
      <c r="AS220" s="62" t="str">
        <f>IF(AL220="","",IF(OR(AL220="Fr",AL220="La",AL220="Sn"),IF(AL220&lt;&gt;IFERROR(VLOOKUP(Wahlbogen!$B$6,F!$A$2:$C$22,3,0),"Sp"),"",AL220),AL220))</f>
        <v>De</v>
      </c>
      <c r="AT220" s="62" t="str">
        <f>IF(AM220="","",IF(OR(AM220="Fr",AM220="La",AM220="Sn"),IF(AM220&lt;&gt;IFERROR(VLOOKUP(Wahlbogen!$B$6,F!$A$2:$C$22,3,0),"Sp"),"",AM220),AM220))</f>
        <v>De</v>
      </c>
      <c r="AU220" s="62" t="str">
        <f>IF(AN220="","",IF(OR(AN220="Fr",AN220="La",AN220="Sn"),IF(AN220&lt;&gt;IFERROR(VLOOKUP(Wahlbogen!$B$6,F!$A$2:$C$22,3,0),"Sp"),"",AN220),AN220))</f>
        <v>De</v>
      </c>
      <c r="AV220" s="62" t="str">
        <f>IF(AO220="","",IF(OR(AO220="Fr",AO220="La",AO220="Sn"),IF(AO220&lt;&gt;IFERROR(VLOOKUP(Wahlbogen!$B$6,F!$A$2:$C$22,3,0),"Sp"),"",AO220),AO220))</f>
        <v>De</v>
      </c>
      <c r="AX220" s="62">
        <f>IFERROR(VLOOKUP(AS220,$C$2:$H$22,6,0),"")</f>
        <v>1</v>
      </c>
      <c r="AY220" s="62">
        <f t="shared" ref="AY220" si="210">IFERROR(VLOOKUP(AT220,$C$2:$H$22,6,0),"")</f>
        <v>1</v>
      </c>
      <c r="AZ220" s="62">
        <f t="shared" ref="AZ220" si="211">IFERROR(VLOOKUP(AU220,$C$2:$H$22,6,0),"")</f>
        <v>1</v>
      </c>
      <c r="BA220" s="62">
        <f t="shared" ref="BA220" si="212">IFERROR(VLOOKUP(AV220,$C$2:$H$22,6,0),"")</f>
        <v>1</v>
      </c>
      <c r="BC220" s="62">
        <f>IFERROR(RANK(AX220,AX$220:AX$239,1),"")</f>
        <v>1</v>
      </c>
      <c r="BD220" s="62">
        <f t="shared" ref="BD220:BF220" si="213">IFERROR(RANK(AY220,AY$220:AY$239,1),"")</f>
        <v>1</v>
      </c>
      <c r="BE220" s="62">
        <f t="shared" si="213"/>
        <v>1</v>
      </c>
      <c r="BF220" s="62">
        <f t="shared" si="213"/>
        <v>1</v>
      </c>
      <c r="BH220" s="62" t="str">
        <f>AS220</f>
        <v>De</v>
      </c>
      <c r="BI220" s="62" t="str">
        <f t="shared" ref="BI220" si="214">AT220</f>
        <v>De</v>
      </c>
      <c r="BJ220" s="62" t="str">
        <f t="shared" ref="BJ220" si="215">AU220</f>
        <v>De</v>
      </c>
      <c r="BK220" s="62" t="str">
        <f t="shared" ref="BK220" si="216">AV220</f>
        <v>De</v>
      </c>
      <c r="BM220" s="62" t="str">
        <f>IFERROR(VLOOKUP($AQ220,BC$220:BH$239,6,0),"")</f>
        <v>De</v>
      </c>
      <c r="BN220" s="62" t="str">
        <f t="shared" ref="BN220:BP220" si="217">IFERROR(VLOOKUP($AQ220,BD$220:BI$239,6,0),"")</f>
        <v>De</v>
      </c>
      <c r="BO220" s="62" t="str">
        <f t="shared" si="217"/>
        <v>De</v>
      </c>
      <c r="BP220" s="62" t="str">
        <f t="shared" si="217"/>
        <v>De</v>
      </c>
    </row>
    <row r="221" spans="1:68" x14ac:dyDescent="0.25">
      <c r="A221" s="30"/>
      <c r="R221" s="63" t="str">
        <f t="shared" si="202"/>
        <v>Englisch</v>
      </c>
      <c r="S221" s="63" t="str">
        <f t="shared" si="203"/>
        <v>Englisch</v>
      </c>
      <c r="T221" s="63" t="str">
        <f t="shared" si="204"/>
        <v>Englisch</v>
      </c>
      <c r="U221" s="63" t="str">
        <f t="shared" si="205"/>
        <v>Englisch</v>
      </c>
      <c r="V221" s="11" t="str">
        <f t="shared" si="206"/>
        <v/>
      </c>
      <c r="W221" s="11" t="str">
        <f t="shared" si="207"/>
        <v/>
      </c>
      <c r="X221" s="11" t="str">
        <f t="shared" si="208"/>
        <v/>
      </c>
      <c r="Y221" s="11" t="str">
        <f t="shared" si="209"/>
        <v/>
      </c>
      <c r="Z221" s="17"/>
      <c r="AA221" s="17" t="s">
        <v>119</v>
      </c>
      <c r="AB221" s="17" t="s">
        <v>120</v>
      </c>
      <c r="AC221" s="17" t="s">
        <v>121</v>
      </c>
      <c r="AD221" s="17" t="s">
        <v>122</v>
      </c>
      <c r="AE221" s="17"/>
      <c r="AF221" s="17" t="s">
        <v>119</v>
      </c>
      <c r="AG221" s="17" t="s">
        <v>120</v>
      </c>
      <c r="AH221" s="17" t="s">
        <v>121</v>
      </c>
      <c r="AI221" s="17" t="s">
        <v>122</v>
      </c>
      <c r="AL221" s="14" t="s">
        <v>46</v>
      </c>
      <c r="AM221" s="14" t="s">
        <v>46</v>
      </c>
      <c r="AN221" s="14" t="s">
        <v>46</v>
      </c>
      <c r="AO221" s="14" t="s">
        <v>46</v>
      </c>
      <c r="AQ221" s="60">
        <v>2</v>
      </c>
      <c r="AS221" s="62" t="str">
        <f>IF(AL221="","",IF(OR(AL221="Fr",AL221="La",AL221="Sn"),IF(AL221&lt;&gt;IFERROR(VLOOKUP(Wahlbogen!$B$6,F!$A$2:$C$22,3,0),"Sp"),"",AL221),AL221))</f>
        <v>En</v>
      </c>
      <c r="AT221" s="62" t="str">
        <f>IF(AM221="","",IF(OR(AM221="Fr",AM221="La",AM221="Sn"),IF(AM221&lt;&gt;IFERROR(VLOOKUP(Wahlbogen!$B$6,F!$A$2:$C$22,3,0),"Sp"),"",AM221),AM221))</f>
        <v>En</v>
      </c>
      <c r="AU221" s="62" t="str">
        <f>IF(AN221="","",IF(OR(AN221="Fr",AN221="La",AN221="Sn"),IF(AN221&lt;&gt;IFERROR(VLOOKUP(Wahlbogen!$B$6,F!$A$2:$C$22,3,0),"Sp"),"",AN221),AN221))</f>
        <v>En</v>
      </c>
      <c r="AV221" s="62" t="str">
        <f>IF(AO221="","",IF(OR(AO221="Fr",AO221="La",AO221="Sn"),IF(AO221&lt;&gt;IFERROR(VLOOKUP(Wahlbogen!$B$6,F!$A$2:$C$22,3,0),"Sp"),"",AO221),AO221))</f>
        <v>En</v>
      </c>
      <c r="AX221" s="62">
        <f t="shared" ref="AX221:AX239" si="218">IFERROR(VLOOKUP(AS221,$C$2:$H$22,6,0),"")</f>
        <v>2</v>
      </c>
      <c r="AY221" s="62">
        <f t="shared" ref="AY221:AY239" si="219">IFERROR(VLOOKUP(AT221,$C$2:$H$22,6,0),"")</f>
        <v>2</v>
      </c>
      <c r="AZ221" s="62">
        <f t="shared" ref="AZ221:AZ239" si="220">IFERROR(VLOOKUP(AU221,$C$2:$H$22,6,0),"")</f>
        <v>2</v>
      </c>
      <c r="BA221" s="62">
        <f t="shared" ref="BA221:BA239" si="221">IFERROR(VLOOKUP(AV221,$C$2:$H$22,6,0),"")</f>
        <v>2</v>
      </c>
      <c r="BC221" s="62">
        <f t="shared" ref="BC221:BC239" si="222">IFERROR(RANK(AX221,AX$220:AX$239,1),"")</f>
        <v>2</v>
      </c>
      <c r="BD221" s="62">
        <f t="shared" ref="BD221:BD239" si="223">IFERROR(RANK(AY221,AY$220:AY$239,1),"")</f>
        <v>2</v>
      </c>
      <c r="BE221" s="62">
        <f t="shared" ref="BE221:BE239" si="224">IFERROR(RANK(AZ221,AZ$220:AZ$239,1),"")</f>
        <v>2</v>
      </c>
      <c r="BF221" s="62">
        <f t="shared" ref="BF221:BF239" si="225">IFERROR(RANK(BA221,BA$220:BA$239,1),"")</f>
        <v>2</v>
      </c>
      <c r="BH221" s="62" t="str">
        <f t="shared" ref="BH221:BH239" si="226">AS221</f>
        <v>En</v>
      </c>
      <c r="BI221" s="62" t="str">
        <f t="shared" ref="BI221:BI239" si="227">AT221</f>
        <v>En</v>
      </c>
      <c r="BJ221" s="62" t="str">
        <f t="shared" ref="BJ221:BJ239" si="228">AU221</f>
        <v>En</v>
      </c>
      <c r="BK221" s="62" t="str">
        <f t="shared" ref="BK221:BK239" si="229">AV221</f>
        <v>En</v>
      </c>
      <c r="BM221" s="62" t="str">
        <f t="shared" ref="BM221:BM239" si="230">IFERROR(VLOOKUP($AQ221,BC$220:BH$239,6,0),"")</f>
        <v>En</v>
      </c>
      <c r="BN221" s="62" t="str">
        <f t="shared" ref="BN221:BN239" si="231">IFERROR(VLOOKUP($AQ221,BD$220:BI$239,6,0),"")</f>
        <v>En</v>
      </c>
      <c r="BO221" s="62" t="str">
        <f t="shared" ref="BO221:BO239" si="232">IFERROR(VLOOKUP($AQ221,BE$220:BJ$239,6,0),"")</f>
        <v>En</v>
      </c>
      <c r="BP221" s="62" t="str">
        <f t="shared" ref="BP221:BP239" si="233">IFERROR(VLOOKUP($AQ221,BF$220:BK$239,6,0),"")</f>
        <v>En</v>
      </c>
    </row>
    <row r="222" spans="1:68" x14ac:dyDescent="0.25">
      <c r="A222" s="30"/>
      <c r="R222" s="63" t="str">
        <f t="shared" si="202"/>
        <v>Mathematik</v>
      </c>
      <c r="S222" s="63" t="str">
        <f t="shared" si="203"/>
        <v>Mathematik</v>
      </c>
      <c r="T222" s="63" t="str">
        <f t="shared" si="204"/>
        <v>Mathematik</v>
      </c>
      <c r="U222" s="63" t="str">
        <f t="shared" si="205"/>
        <v>Mathematik</v>
      </c>
      <c r="V222" s="11" t="str">
        <f t="shared" si="206"/>
        <v/>
      </c>
      <c r="W222" s="11" t="str">
        <f t="shared" si="207"/>
        <v/>
      </c>
      <c r="X222" s="11" t="str">
        <f t="shared" si="208"/>
        <v/>
      </c>
      <c r="Y222" s="11" t="str">
        <f t="shared" si="209"/>
        <v/>
      </c>
      <c r="Z222" s="17" t="s">
        <v>164</v>
      </c>
      <c r="AA222" s="17">
        <f>ROW()-2</f>
        <v>220</v>
      </c>
      <c r="AB222" s="17">
        <f>AA222</f>
        <v>220</v>
      </c>
      <c r="AC222" s="17">
        <f>AB222</f>
        <v>220</v>
      </c>
      <c r="AD222" s="17">
        <f>AC222</f>
        <v>220</v>
      </c>
      <c r="AE222" s="17" t="s">
        <v>164</v>
      </c>
      <c r="AF222" s="17">
        <f>MATCH("",R219:R248,-1)+ROW()-4</f>
        <v>225</v>
      </c>
      <c r="AG222" s="17">
        <f t="shared" ref="AG222:AI222" si="234">MATCH("",S219:S248,-1)+ROW()-4</f>
        <v>225</v>
      </c>
      <c r="AH222" s="17">
        <f t="shared" si="234"/>
        <v>225</v>
      </c>
      <c r="AI222" s="17">
        <f t="shared" si="234"/>
        <v>225</v>
      </c>
      <c r="AL222" s="14" t="s">
        <v>49</v>
      </c>
      <c r="AM222" s="14" t="s">
        <v>49</v>
      </c>
      <c r="AN222" s="14" t="s">
        <v>49</v>
      </c>
      <c r="AO222" s="14" t="s">
        <v>49</v>
      </c>
      <c r="AQ222" s="60">
        <v>3</v>
      </c>
      <c r="AS222" s="62" t="str">
        <f>IF(AL222="","",IF(OR(AL222="Fr",AL222="La",AL222="Sn"),IF(AL222&lt;&gt;IFERROR(VLOOKUP(Wahlbogen!$B$6,F!$A$2:$C$22,3,0),"Sp"),"",AL222),AL222))</f>
        <v/>
      </c>
      <c r="AT222" s="62" t="str">
        <f>IF(AM222="","",IF(OR(AM222="Fr",AM222="La",AM222="Sn"),IF(AM222&lt;&gt;IFERROR(VLOOKUP(Wahlbogen!$B$6,F!$A$2:$C$22,3,0),"Sp"),"",AM222),AM222))</f>
        <v/>
      </c>
      <c r="AU222" s="62" t="str">
        <f>IF(AN222="","",IF(OR(AN222="Fr",AN222="La",AN222="Sn"),IF(AN222&lt;&gt;IFERROR(VLOOKUP(Wahlbogen!$B$6,F!$A$2:$C$22,3,0),"Sp"),"",AN222),AN222))</f>
        <v/>
      </c>
      <c r="AV222" s="62" t="str">
        <f>IF(AO222="","",IF(OR(AO222="Fr",AO222="La",AO222="Sn"),IF(AO222&lt;&gt;IFERROR(VLOOKUP(Wahlbogen!$B$6,F!$A$2:$C$22,3,0),"Sp"),"",AO222),AO222))</f>
        <v/>
      </c>
      <c r="AX222" s="62" t="str">
        <f t="shared" si="218"/>
        <v/>
      </c>
      <c r="AY222" s="62" t="str">
        <f t="shared" si="219"/>
        <v/>
      </c>
      <c r="AZ222" s="62" t="str">
        <f t="shared" si="220"/>
        <v/>
      </c>
      <c r="BA222" s="62" t="str">
        <f t="shared" si="221"/>
        <v/>
      </c>
      <c r="BC222" s="62" t="str">
        <f t="shared" si="222"/>
        <v/>
      </c>
      <c r="BD222" s="62" t="str">
        <f t="shared" si="223"/>
        <v/>
      </c>
      <c r="BE222" s="62" t="str">
        <f t="shared" si="224"/>
        <v/>
      </c>
      <c r="BF222" s="62" t="str">
        <f t="shared" si="225"/>
        <v/>
      </c>
      <c r="BH222" s="62" t="str">
        <f t="shared" si="226"/>
        <v/>
      </c>
      <c r="BI222" s="62" t="str">
        <f t="shared" si="227"/>
        <v/>
      </c>
      <c r="BJ222" s="62" t="str">
        <f t="shared" si="228"/>
        <v/>
      </c>
      <c r="BK222" s="62" t="str">
        <f t="shared" si="229"/>
        <v/>
      </c>
      <c r="BM222" s="62" t="str">
        <f t="shared" si="230"/>
        <v>Ma</v>
      </c>
      <c r="BN222" s="62" t="str">
        <f t="shared" si="231"/>
        <v>Ma</v>
      </c>
      <c r="BO222" s="62" t="str">
        <f t="shared" si="232"/>
        <v>Ma</v>
      </c>
      <c r="BP222" s="62" t="str">
        <f t="shared" si="233"/>
        <v>Ma</v>
      </c>
    </row>
    <row r="223" spans="1:68" x14ac:dyDescent="0.25">
      <c r="A223" s="30"/>
      <c r="R223" s="63" t="str">
        <f t="shared" si="202"/>
        <v>Biologie</v>
      </c>
      <c r="S223" s="63" t="str">
        <f t="shared" si="203"/>
        <v>Biologie</v>
      </c>
      <c r="T223" s="63" t="str">
        <f t="shared" si="204"/>
        <v>Biologie</v>
      </c>
      <c r="U223" s="63" t="str">
        <f t="shared" si="205"/>
        <v>Biologie</v>
      </c>
      <c r="V223" s="11" t="str">
        <f t="shared" si="206"/>
        <v/>
      </c>
      <c r="W223" s="11" t="str">
        <f t="shared" si="207"/>
        <v/>
      </c>
      <c r="X223" s="11" t="str">
        <f t="shared" si="208"/>
        <v/>
      </c>
      <c r="Y223" s="11" t="str">
        <f t="shared" si="209"/>
        <v/>
      </c>
      <c r="AL223" s="14" t="s">
        <v>54</v>
      </c>
      <c r="AM223" s="14" t="s">
        <v>54</v>
      </c>
      <c r="AN223" s="14" t="s">
        <v>54</v>
      </c>
      <c r="AO223" s="14" t="s">
        <v>54</v>
      </c>
      <c r="AQ223" s="60">
        <v>4</v>
      </c>
      <c r="AS223" s="62" t="str">
        <f>IF(AL223="","",IF(OR(AL223="Fr",AL223="La",AL223="Sn"),IF(AL223&lt;&gt;IFERROR(VLOOKUP(Wahlbogen!$B$6,F!$A$2:$C$22,3,0),"Sp"),"",AL223),AL223))</f>
        <v/>
      </c>
      <c r="AT223" s="62" t="str">
        <f>IF(AM223="","",IF(OR(AM223="Fr",AM223="La",AM223="Sn"),IF(AM223&lt;&gt;IFERROR(VLOOKUP(Wahlbogen!$B$6,F!$A$2:$C$22,3,0),"Sp"),"",AM223),AM223))</f>
        <v/>
      </c>
      <c r="AU223" s="62" t="str">
        <f>IF(AN223="","",IF(OR(AN223="Fr",AN223="La",AN223="Sn"),IF(AN223&lt;&gt;IFERROR(VLOOKUP(Wahlbogen!$B$6,F!$A$2:$C$22,3,0),"Sp"),"",AN223),AN223))</f>
        <v/>
      </c>
      <c r="AV223" s="62" t="str">
        <f>IF(AO223="","",IF(OR(AO223="Fr",AO223="La",AO223="Sn"),IF(AO223&lt;&gt;IFERROR(VLOOKUP(Wahlbogen!$B$6,F!$A$2:$C$22,3,0),"Sp"),"",AO223),AO223))</f>
        <v/>
      </c>
      <c r="AX223" s="62" t="str">
        <f t="shared" si="218"/>
        <v/>
      </c>
      <c r="AY223" s="62" t="str">
        <f t="shared" si="219"/>
        <v/>
      </c>
      <c r="AZ223" s="62" t="str">
        <f t="shared" si="220"/>
        <v/>
      </c>
      <c r="BA223" s="62" t="str">
        <f t="shared" si="221"/>
        <v/>
      </c>
      <c r="BC223" s="62" t="str">
        <f t="shared" si="222"/>
        <v/>
      </c>
      <c r="BD223" s="62" t="str">
        <f t="shared" si="223"/>
        <v/>
      </c>
      <c r="BE223" s="62" t="str">
        <f t="shared" si="224"/>
        <v/>
      </c>
      <c r="BF223" s="62" t="str">
        <f t="shared" si="225"/>
        <v/>
      </c>
      <c r="BH223" s="62" t="str">
        <f t="shared" si="226"/>
        <v/>
      </c>
      <c r="BI223" s="62" t="str">
        <f t="shared" si="227"/>
        <v/>
      </c>
      <c r="BJ223" s="62" t="str">
        <f t="shared" si="228"/>
        <v/>
      </c>
      <c r="BK223" s="62" t="str">
        <f t="shared" si="229"/>
        <v/>
      </c>
      <c r="BM223" s="62" t="str">
        <f t="shared" si="230"/>
        <v>Bi</v>
      </c>
      <c r="BN223" s="62" t="str">
        <f t="shared" si="231"/>
        <v>Bi</v>
      </c>
      <c r="BO223" s="62" t="str">
        <f t="shared" si="232"/>
        <v>Bi</v>
      </c>
      <c r="BP223" s="62" t="str">
        <f t="shared" si="233"/>
        <v>Bi</v>
      </c>
    </row>
    <row r="224" spans="1:68" x14ac:dyDescent="0.25">
      <c r="A224" s="30"/>
      <c r="R224" s="63" t="str">
        <f t="shared" si="202"/>
        <v>Chemie</v>
      </c>
      <c r="S224" s="63" t="str">
        <f t="shared" si="203"/>
        <v>Chemie</v>
      </c>
      <c r="T224" s="63" t="str">
        <f t="shared" si="204"/>
        <v>Chemie</v>
      </c>
      <c r="U224" s="63" t="str">
        <f t="shared" si="205"/>
        <v>Chemie</v>
      </c>
      <c r="V224" s="11" t="str">
        <f t="shared" si="206"/>
        <v/>
      </c>
      <c r="W224" s="11" t="str">
        <f t="shared" si="207"/>
        <v/>
      </c>
      <c r="X224" s="11" t="str">
        <f t="shared" si="208"/>
        <v/>
      </c>
      <c r="Y224" s="11" t="str">
        <f t="shared" si="209"/>
        <v/>
      </c>
      <c r="AL224" s="14" t="s">
        <v>59</v>
      </c>
      <c r="AM224" s="14" t="s">
        <v>59</v>
      </c>
      <c r="AN224" s="14" t="s">
        <v>59</v>
      </c>
      <c r="AO224" s="14" t="s">
        <v>59</v>
      </c>
      <c r="AQ224" s="60">
        <v>5</v>
      </c>
      <c r="AS224" s="62" t="str">
        <f>IF(AL224="","",IF(OR(AL224="Fr",AL224="La",AL224="Sn"),IF(AL224&lt;&gt;IFERROR(VLOOKUP(Wahlbogen!$B$6,F!$A$2:$C$22,3,0),"Sp"),"",AL224),AL224))</f>
        <v/>
      </c>
      <c r="AT224" s="62" t="str">
        <f>IF(AM224="","",IF(OR(AM224="Fr",AM224="La",AM224="Sn"),IF(AM224&lt;&gt;IFERROR(VLOOKUP(Wahlbogen!$B$6,F!$A$2:$C$22,3,0),"Sp"),"",AM224),AM224))</f>
        <v/>
      </c>
      <c r="AU224" s="62" t="str">
        <f>IF(AN224="","",IF(OR(AN224="Fr",AN224="La",AN224="Sn"),IF(AN224&lt;&gt;IFERROR(VLOOKUP(Wahlbogen!$B$6,F!$A$2:$C$22,3,0),"Sp"),"",AN224),AN224))</f>
        <v/>
      </c>
      <c r="AV224" s="62" t="str">
        <f>IF(AO224="","",IF(OR(AO224="Fr",AO224="La",AO224="Sn"),IF(AO224&lt;&gt;IFERROR(VLOOKUP(Wahlbogen!$B$6,F!$A$2:$C$22,3,0),"Sp"),"",AO224),AO224))</f>
        <v/>
      </c>
      <c r="AX224" s="62" t="str">
        <f t="shared" si="218"/>
        <v/>
      </c>
      <c r="AY224" s="62" t="str">
        <f t="shared" si="219"/>
        <v/>
      </c>
      <c r="AZ224" s="62" t="str">
        <f t="shared" si="220"/>
        <v/>
      </c>
      <c r="BA224" s="62" t="str">
        <f t="shared" si="221"/>
        <v/>
      </c>
      <c r="BC224" s="62" t="str">
        <f t="shared" si="222"/>
        <v/>
      </c>
      <c r="BD224" s="62" t="str">
        <f t="shared" si="223"/>
        <v/>
      </c>
      <c r="BE224" s="62" t="str">
        <f t="shared" si="224"/>
        <v/>
      </c>
      <c r="BF224" s="62" t="str">
        <f t="shared" si="225"/>
        <v/>
      </c>
      <c r="BH224" s="62" t="str">
        <f t="shared" si="226"/>
        <v/>
      </c>
      <c r="BI224" s="62" t="str">
        <f t="shared" si="227"/>
        <v/>
      </c>
      <c r="BJ224" s="62" t="str">
        <f t="shared" si="228"/>
        <v/>
      </c>
      <c r="BK224" s="62" t="str">
        <f t="shared" si="229"/>
        <v/>
      </c>
      <c r="BM224" s="62" t="str">
        <f t="shared" si="230"/>
        <v>Ch</v>
      </c>
      <c r="BN224" s="62" t="str">
        <f t="shared" si="231"/>
        <v>Ch</v>
      </c>
      <c r="BO224" s="62" t="str">
        <f t="shared" si="232"/>
        <v>Ch</v>
      </c>
      <c r="BP224" s="62" t="str">
        <f t="shared" si="233"/>
        <v>Ch</v>
      </c>
    </row>
    <row r="225" spans="1:68" x14ac:dyDescent="0.25">
      <c r="A225" s="30"/>
      <c r="R225" s="63" t="str">
        <f t="shared" si="202"/>
        <v>Physik</v>
      </c>
      <c r="S225" s="63" t="str">
        <f t="shared" si="203"/>
        <v>Physik</v>
      </c>
      <c r="T225" s="63" t="str">
        <f t="shared" si="204"/>
        <v>Physik</v>
      </c>
      <c r="U225" s="63" t="str">
        <f t="shared" si="205"/>
        <v>Physik</v>
      </c>
      <c r="V225" s="11" t="str">
        <f t="shared" si="206"/>
        <v/>
      </c>
      <c r="W225" s="11" t="str">
        <f t="shared" si="207"/>
        <v/>
      </c>
      <c r="X225" s="11" t="str">
        <f t="shared" si="208"/>
        <v/>
      </c>
      <c r="Y225" s="11" t="str">
        <f t="shared" si="209"/>
        <v/>
      </c>
      <c r="AL225" s="14"/>
      <c r="AM225" s="14"/>
      <c r="AN225" s="14"/>
      <c r="AO225" s="14"/>
      <c r="AQ225" s="60">
        <v>6</v>
      </c>
      <c r="AS225" s="62" t="str">
        <f>IF(AL225="","",IF(OR(AL225="Fr",AL225="La",AL225="Sn"),IF(AL225&lt;&gt;IFERROR(VLOOKUP(Wahlbogen!$B$6,F!$A$2:$C$22,3,0),"Sp"),"",AL225),AL225))</f>
        <v/>
      </c>
      <c r="AT225" s="62" t="str">
        <f>IF(AM225="","",IF(OR(AM225="Fr",AM225="La",AM225="Sn"),IF(AM225&lt;&gt;IFERROR(VLOOKUP(Wahlbogen!$B$6,F!$A$2:$C$22,3,0),"Sp"),"",AM225),AM225))</f>
        <v/>
      </c>
      <c r="AU225" s="62" t="str">
        <f>IF(AN225="","",IF(OR(AN225="Fr",AN225="La",AN225="Sn"),IF(AN225&lt;&gt;IFERROR(VLOOKUP(Wahlbogen!$B$6,F!$A$2:$C$22,3,0),"Sp"),"",AN225),AN225))</f>
        <v/>
      </c>
      <c r="AV225" s="62" t="str">
        <f>IF(AO225="","",IF(OR(AO225="Fr",AO225="La",AO225="Sn"),IF(AO225&lt;&gt;IFERROR(VLOOKUP(Wahlbogen!$B$6,F!$A$2:$C$22,3,0),"Sp"),"",AO225),AO225))</f>
        <v/>
      </c>
      <c r="AX225" s="62" t="str">
        <f t="shared" si="218"/>
        <v/>
      </c>
      <c r="AY225" s="62" t="str">
        <f t="shared" si="219"/>
        <v/>
      </c>
      <c r="AZ225" s="62" t="str">
        <f t="shared" si="220"/>
        <v/>
      </c>
      <c r="BA225" s="62" t="str">
        <f t="shared" si="221"/>
        <v/>
      </c>
      <c r="BC225" s="62" t="str">
        <f t="shared" si="222"/>
        <v/>
      </c>
      <c r="BD225" s="62" t="str">
        <f t="shared" si="223"/>
        <v/>
      </c>
      <c r="BE225" s="62" t="str">
        <f t="shared" si="224"/>
        <v/>
      </c>
      <c r="BF225" s="62" t="str">
        <f t="shared" si="225"/>
        <v/>
      </c>
      <c r="BH225" s="62" t="str">
        <f t="shared" si="226"/>
        <v/>
      </c>
      <c r="BI225" s="62" t="str">
        <f t="shared" si="227"/>
        <v/>
      </c>
      <c r="BJ225" s="62" t="str">
        <f t="shared" si="228"/>
        <v/>
      </c>
      <c r="BK225" s="62" t="str">
        <f t="shared" si="229"/>
        <v/>
      </c>
      <c r="BM225" s="62" t="str">
        <f t="shared" si="230"/>
        <v>Ph</v>
      </c>
      <c r="BN225" s="62" t="str">
        <f t="shared" si="231"/>
        <v>Ph</v>
      </c>
      <c r="BO225" s="62" t="str">
        <f t="shared" si="232"/>
        <v>Ph</v>
      </c>
      <c r="BP225" s="62" t="str">
        <f t="shared" si="233"/>
        <v>Ph</v>
      </c>
    </row>
    <row r="226" spans="1:68" x14ac:dyDescent="0.25">
      <c r="A226" s="30"/>
      <c r="R226" s="63">
        <f t="shared" si="202"/>
        <v>0</v>
      </c>
      <c r="S226" s="63">
        <f t="shared" si="203"/>
        <v>0</v>
      </c>
      <c r="T226" s="63">
        <f t="shared" si="204"/>
        <v>0</v>
      </c>
      <c r="U226" s="63">
        <f t="shared" si="205"/>
        <v>0</v>
      </c>
      <c r="W226" s="11"/>
      <c r="X226" s="11"/>
      <c r="Y226" s="11"/>
      <c r="AB226" s="18" t="s">
        <v>123</v>
      </c>
      <c r="AL226" s="14"/>
      <c r="AM226" s="14"/>
      <c r="AN226" s="14"/>
      <c r="AO226" s="14"/>
      <c r="AQ226" s="60">
        <v>7</v>
      </c>
      <c r="AS226" s="62" t="str">
        <f>IF(AL226="","",IF(OR(AL226="Fr",AL226="La",AL226="Sn"),IF(AL226&lt;&gt;IFERROR(VLOOKUP(Wahlbogen!$B$6,F!$A$2:$C$22,3,0),"Sp"),"",AL226),AL226))</f>
        <v/>
      </c>
      <c r="AT226" s="62" t="str">
        <f>IF(AM226="","",IF(OR(AM226="Fr",AM226="La",AM226="Sn"),IF(AM226&lt;&gt;IFERROR(VLOOKUP(Wahlbogen!$B$6,F!$A$2:$C$22,3,0),"Sp"),"",AM226),AM226))</f>
        <v/>
      </c>
      <c r="AU226" s="62" t="str">
        <f>IF(AN226="","",IF(OR(AN226="Fr",AN226="La",AN226="Sn"),IF(AN226&lt;&gt;IFERROR(VLOOKUP(Wahlbogen!$B$6,F!$A$2:$C$22,3,0),"Sp"),"",AN226),AN226))</f>
        <v/>
      </c>
      <c r="AV226" s="62" t="str">
        <f>IF(AO226="","",IF(OR(AO226="Fr",AO226="La",AO226="Sn"),IF(AO226&lt;&gt;IFERROR(VLOOKUP(Wahlbogen!$B$6,F!$A$2:$C$22,3,0),"Sp"),"",AO226),AO226))</f>
        <v/>
      </c>
      <c r="AX226" s="62" t="str">
        <f t="shared" si="218"/>
        <v/>
      </c>
      <c r="AY226" s="62" t="str">
        <f t="shared" si="219"/>
        <v/>
      </c>
      <c r="AZ226" s="62" t="str">
        <f t="shared" si="220"/>
        <v/>
      </c>
      <c r="BA226" s="62" t="str">
        <f t="shared" si="221"/>
        <v/>
      </c>
      <c r="BC226" s="62" t="str">
        <f t="shared" si="222"/>
        <v/>
      </c>
      <c r="BD226" s="62" t="str">
        <f t="shared" si="223"/>
        <v/>
      </c>
      <c r="BE226" s="62" t="str">
        <f t="shared" si="224"/>
        <v/>
      </c>
      <c r="BF226" s="62" t="str">
        <f t="shared" si="225"/>
        <v/>
      </c>
      <c r="BH226" s="62" t="str">
        <f t="shared" si="226"/>
        <v/>
      </c>
      <c r="BI226" s="62" t="str">
        <f t="shared" si="227"/>
        <v/>
      </c>
      <c r="BJ226" s="62" t="str">
        <f t="shared" si="228"/>
        <v/>
      </c>
      <c r="BK226" s="62" t="str">
        <f t="shared" si="229"/>
        <v/>
      </c>
      <c r="BM226" s="62" t="str">
        <f t="shared" si="230"/>
        <v/>
      </c>
      <c r="BN226" s="62" t="str">
        <f t="shared" si="231"/>
        <v/>
      </c>
      <c r="BO226" s="62" t="str">
        <f t="shared" si="232"/>
        <v/>
      </c>
      <c r="BP226" s="62" t="str">
        <f t="shared" si="233"/>
        <v/>
      </c>
    </row>
    <row r="227" spans="1:68" x14ac:dyDescent="0.25">
      <c r="A227" s="30"/>
      <c r="R227" s="63">
        <f t="shared" si="202"/>
        <v>0</v>
      </c>
      <c r="S227" s="63">
        <f t="shared" si="203"/>
        <v>0</v>
      </c>
      <c r="T227" s="63">
        <f t="shared" si="204"/>
        <v>0</v>
      </c>
      <c r="U227" s="63">
        <f t="shared" si="205"/>
        <v>0</v>
      </c>
      <c r="W227" s="11"/>
      <c r="X227" s="11"/>
      <c r="Y227" s="11"/>
      <c r="AB227" s="18" t="s">
        <v>124</v>
      </c>
      <c r="AL227" s="14"/>
      <c r="AM227" s="14"/>
      <c r="AN227" s="14"/>
      <c r="AO227" s="14"/>
      <c r="AQ227" s="60">
        <v>8</v>
      </c>
      <c r="AS227" s="62" t="str">
        <f>IF(AL227="","",IF(OR(AL227="Fr",AL227="La",AL227="Sn"),IF(AL227&lt;&gt;IFERROR(VLOOKUP(Wahlbogen!$B$6,F!$A$2:$C$22,3,0),"Sp"),"",AL227),AL227))</f>
        <v/>
      </c>
      <c r="AT227" s="62" t="str">
        <f>IF(AM227="","",IF(OR(AM227="Fr",AM227="La",AM227="Sn"),IF(AM227&lt;&gt;IFERROR(VLOOKUP(Wahlbogen!$B$6,F!$A$2:$C$22,3,0),"Sp"),"",AM227),AM227))</f>
        <v/>
      </c>
      <c r="AU227" s="62" t="str">
        <f>IF(AN227="","",IF(OR(AN227="Fr",AN227="La",AN227="Sn"),IF(AN227&lt;&gt;IFERROR(VLOOKUP(Wahlbogen!$B$6,F!$A$2:$C$22,3,0),"Sp"),"",AN227),AN227))</f>
        <v/>
      </c>
      <c r="AV227" s="62" t="str">
        <f>IF(AO227="","",IF(OR(AO227="Fr",AO227="La",AO227="Sn"),IF(AO227&lt;&gt;IFERROR(VLOOKUP(Wahlbogen!$B$6,F!$A$2:$C$22,3,0),"Sp"),"",AO227),AO227))</f>
        <v/>
      </c>
      <c r="AX227" s="62" t="str">
        <f t="shared" si="218"/>
        <v/>
      </c>
      <c r="AY227" s="62" t="str">
        <f t="shared" si="219"/>
        <v/>
      </c>
      <c r="AZ227" s="62" t="str">
        <f t="shared" si="220"/>
        <v/>
      </c>
      <c r="BA227" s="62" t="str">
        <f t="shared" si="221"/>
        <v/>
      </c>
      <c r="BC227" s="62" t="str">
        <f t="shared" si="222"/>
        <v/>
      </c>
      <c r="BD227" s="62" t="str">
        <f t="shared" si="223"/>
        <v/>
      </c>
      <c r="BE227" s="62" t="str">
        <f t="shared" si="224"/>
        <v/>
      </c>
      <c r="BF227" s="62" t="str">
        <f t="shared" si="225"/>
        <v/>
      </c>
      <c r="BH227" s="62" t="str">
        <f t="shared" si="226"/>
        <v/>
      </c>
      <c r="BI227" s="62" t="str">
        <f t="shared" si="227"/>
        <v/>
      </c>
      <c r="BJ227" s="62" t="str">
        <f t="shared" si="228"/>
        <v/>
      </c>
      <c r="BK227" s="62" t="str">
        <f t="shared" si="229"/>
        <v/>
      </c>
      <c r="BM227" s="62" t="str">
        <f t="shared" si="230"/>
        <v/>
      </c>
      <c r="BN227" s="62" t="str">
        <f t="shared" si="231"/>
        <v/>
      </c>
      <c r="BO227" s="62" t="str">
        <f t="shared" si="232"/>
        <v/>
      </c>
      <c r="BP227" s="62" t="str">
        <f t="shared" si="233"/>
        <v/>
      </c>
    </row>
    <row r="228" spans="1:68" x14ac:dyDescent="0.25">
      <c r="A228" s="30"/>
      <c r="R228" s="63">
        <f t="shared" si="202"/>
        <v>0</v>
      </c>
      <c r="S228" s="63">
        <f t="shared" si="203"/>
        <v>0</v>
      </c>
      <c r="T228" s="63">
        <f t="shared" si="204"/>
        <v>0</v>
      </c>
      <c r="U228" s="63">
        <f t="shared" si="205"/>
        <v>0</v>
      </c>
      <c r="W228" s="11"/>
      <c r="X228" s="11"/>
      <c r="Y228" s="11"/>
      <c r="AL228" s="14"/>
      <c r="AM228" s="14"/>
      <c r="AN228" s="14"/>
      <c r="AO228" s="14"/>
      <c r="AQ228" s="60">
        <v>9</v>
      </c>
      <c r="AS228" s="62" t="str">
        <f>IF(AL228="","",IF(OR(AL228="Fr",AL228="La",AL228="Sn"),IF(AL228&lt;&gt;IFERROR(VLOOKUP(Wahlbogen!$B$6,F!$A$2:$C$22,3,0),"Sp"),"",AL228),AL228))</f>
        <v/>
      </c>
      <c r="AT228" s="62" t="str">
        <f>IF(AM228="","",IF(OR(AM228="Fr",AM228="La",AM228="Sn"),IF(AM228&lt;&gt;IFERROR(VLOOKUP(Wahlbogen!$B$6,F!$A$2:$C$22,3,0),"Sp"),"",AM228),AM228))</f>
        <v/>
      </c>
      <c r="AU228" s="62" t="str">
        <f>IF(AN228="","",IF(OR(AN228="Fr",AN228="La",AN228="Sn"),IF(AN228&lt;&gt;IFERROR(VLOOKUP(Wahlbogen!$B$6,F!$A$2:$C$22,3,0),"Sp"),"",AN228),AN228))</f>
        <v/>
      </c>
      <c r="AV228" s="62" t="str">
        <f>IF(AO228="","",IF(OR(AO228="Fr",AO228="La",AO228="Sn"),IF(AO228&lt;&gt;IFERROR(VLOOKUP(Wahlbogen!$B$6,F!$A$2:$C$22,3,0),"Sp"),"",AO228),AO228))</f>
        <v/>
      </c>
      <c r="AX228" s="62" t="str">
        <f t="shared" si="218"/>
        <v/>
      </c>
      <c r="AY228" s="62" t="str">
        <f t="shared" si="219"/>
        <v/>
      </c>
      <c r="AZ228" s="62" t="str">
        <f t="shared" si="220"/>
        <v/>
      </c>
      <c r="BA228" s="62" t="str">
        <f t="shared" si="221"/>
        <v/>
      </c>
      <c r="BC228" s="62" t="str">
        <f t="shared" si="222"/>
        <v/>
      </c>
      <c r="BD228" s="62" t="str">
        <f t="shared" si="223"/>
        <v/>
      </c>
      <c r="BE228" s="62" t="str">
        <f t="shared" si="224"/>
        <v/>
      </c>
      <c r="BF228" s="62" t="str">
        <f t="shared" si="225"/>
        <v/>
      </c>
      <c r="BH228" s="62" t="str">
        <f t="shared" si="226"/>
        <v/>
      </c>
      <c r="BI228" s="62" t="str">
        <f t="shared" si="227"/>
        <v/>
      </c>
      <c r="BJ228" s="62" t="str">
        <f t="shared" si="228"/>
        <v/>
      </c>
      <c r="BK228" s="62" t="str">
        <f t="shared" si="229"/>
        <v/>
      </c>
      <c r="BM228" s="62" t="str">
        <f t="shared" si="230"/>
        <v/>
      </c>
      <c r="BN228" s="62" t="str">
        <f t="shared" si="231"/>
        <v/>
      </c>
      <c r="BO228" s="62" t="str">
        <f t="shared" si="232"/>
        <v/>
      </c>
      <c r="BP228" s="62" t="str">
        <f t="shared" si="233"/>
        <v/>
      </c>
    </row>
    <row r="229" spans="1:68" x14ac:dyDescent="0.25">
      <c r="A229" s="30"/>
      <c r="R229" s="63">
        <f t="shared" si="202"/>
        <v>0</v>
      </c>
      <c r="S229" s="63">
        <f t="shared" si="203"/>
        <v>0</v>
      </c>
      <c r="T229" s="63">
        <f t="shared" si="204"/>
        <v>0</v>
      </c>
      <c r="U229" s="63">
        <f t="shared" si="205"/>
        <v>0</v>
      </c>
      <c r="W229" s="11"/>
      <c r="X229" s="11"/>
      <c r="Y229" s="11"/>
      <c r="AL229" s="14"/>
      <c r="AM229" s="14"/>
      <c r="AN229" s="14"/>
      <c r="AO229" s="14"/>
      <c r="AQ229" s="60">
        <v>10</v>
      </c>
      <c r="AS229" s="62" t="str">
        <f>IF(AL229="","",IF(OR(AL229="Fr",AL229="La",AL229="Sn"),IF(AL229&lt;&gt;IFERROR(VLOOKUP(Wahlbogen!$B$6,F!$A$2:$C$22,3,0),"Sp"),"",AL229),AL229))</f>
        <v/>
      </c>
      <c r="AT229" s="62" t="str">
        <f>IF(AM229="","",IF(OR(AM229="Fr",AM229="La",AM229="Sn"),IF(AM229&lt;&gt;IFERROR(VLOOKUP(Wahlbogen!$B$6,F!$A$2:$C$22,3,0),"Sp"),"",AM229),AM229))</f>
        <v/>
      </c>
      <c r="AU229" s="62" t="str">
        <f>IF(AN229="","",IF(OR(AN229="Fr",AN229="La",AN229="Sn"),IF(AN229&lt;&gt;IFERROR(VLOOKUP(Wahlbogen!$B$6,F!$A$2:$C$22,3,0),"Sp"),"",AN229),AN229))</f>
        <v/>
      </c>
      <c r="AV229" s="62" t="str">
        <f>IF(AO229="","",IF(OR(AO229="Fr",AO229="La",AO229="Sn"),IF(AO229&lt;&gt;IFERROR(VLOOKUP(Wahlbogen!$B$6,F!$A$2:$C$22,3,0),"Sp"),"",AO229),AO229))</f>
        <v/>
      </c>
      <c r="AX229" s="62" t="str">
        <f t="shared" si="218"/>
        <v/>
      </c>
      <c r="AY229" s="62" t="str">
        <f t="shared" si="219"/>
        <v/>
      </c>
      <c r="AZ229" s="62" t="str">
        <f t="shared" si="220"/>
        <v/>
      </c>
      <c r="BA229" s="62" t="str">
        <f t="shared" si="221"/>
        <v/>
      </c>
      <c r="BC229" s="62" t="str">
        <f t="shared" si="222"/>
        <v/>
      </c>
      <c r="BD229" s="62" t="str">
        <f t="shared" si="223"/>
        <v/>
      </c>
      <c r="BE229" s="62" t="str">
        <f t="shared" si="224"/>
        <v/>
      </c>
      <c r="BF229" s="62" t="str">
        <f t="shared" si="225"/>
        <v/>
      </c>
      <c r="BH229" s="62" t="str">
        <f t="shared" si="226"/>
        <v/>
      </c>
      <c r="BI229" s="62" t="str">
        <f t="shared" si="227"/>
        <v/>
      </c>
      <c r="BJ229" s="62" t="str">
        <f t="shared" si="228"/>
        <v/>
      </c>
      <c r="BK229" s="62" t="str">
        <f t="shared" si="229"/>
        <v/>
      </c>
      <c r="BM229" s="62" t="str">
        <f t="shared" si="230"/>
        <v/>
      </c>
      <c r="BN229" s="62" t="str">
        <f t="shared" si="231"/>
        <v/>
      </c>
      <c r="BO229" s="62" t="str">
        <f t="shared" si="232"/>
        <v/>
      </c>
      <c r="BP229" s="62" t="str">
        <f t="shared" si="233"/>
        <v/>
      </c>
    </row>
    <row r="230" spans="1:68" x14ac:dyDescent="0.25">
      <c r="A230" s="30"/>
      <c r="R230" s="63">
        <f t="shared" si="202"/>
        <v>0</v>
      </c>
      <c r="S230" s="63">
        <f t="shared" si="203"/>
        <v>0</v>
      </c>
      <c r="T230" s="63">
        <f t="shared" si="204"/>
        <v>0</v>
      </c>
      <c r="U230" s="63">
        <f t="shared" si="205"/>
        <v>0</v>
      </c>
      <c r="W230" s="11"/>
      <c r="X230" s="11"/>
      <c r="Y230" s="11"/>
      <c r="AL230" s="14"/>
      <c r="AM230" s="14"/>
      <c r="AN230" s="14"/>
      <c r="AO230" s="14"/>
      <c r="AQ230" s="60">
        <v>11</v>
      </c>
      <c r="AS230" s="62" t="str">
        <f>IF(AL230="","",IF(OR(AL230="Fr",AL230="La",AL230="Sn"),IF(AL230&lt;&gt;IFERROR(VLOOKUP(Wahlbogen!$B$6,F!$A$2:$C$22,3,0),"Sp"),"",AL230),AL230))</f>
        <v/>
      </c>
      <c r="AT230" s="62" t="str">
        <f>IF(AM230="","",IF(OR(AM230="Fr",AM230="La",AM230="Sn"),IF(AM230&lt;&gt;IFERROR(VLOOKUP(Wahlbogen!$B$6,F!$A$2:$C$22,3,0),"Sp"),"",AM230),AM230))</f>
        <v/>
      </c>
      <c r="AU230" s="62" t="str">
        <f>IF(AN230="","",IF(OR(AN230="Fr",AN230="La",AN230="Sn"),IF(AN230&lt;&gt;IFERROR(VLOOKUP(Wahlbogen!$B$6,F!$A$2:$C$22,3,0),"Sp"),"",AN230),AN230))</f>
        <v/>
      </c>
      <c r="AV230" s="62" t="str">
        <f>IF(AO230="","",IF(OR(AO230="Fr",AO230="La",AO230="Sn"),IF(AO230&lt;&gt;IFERROR(VLOOKUP(Wahlbogen!$B$6,F!$A$2:$C$22,3,0),"Sp"),"",AO230),AO230))</f>
        <v/>
      </c>
      <c r="AX230" s="62" t="str">
        <f t="shared" si="218"/>
        <v/>
      </c>
      <c r="AY230" s="62" t="str">
        <f t="shared" si="219"/>
        <v/>
      </c>
      <c r="AZ230" s="62" t="str">
        <f t="shared" si="220"/>
        <v/>
      </c>
      <c r="BA230" s="62" t="str">
        <f t="shared" si="221"/>
        <v/>
      </c>
      <c r="BC230" s="62" t="str">
        <f t="shared" si="222"/>
        <v/>
      </c>
      <c r="BD230" s="62" t="str">
        <f t="shared" si="223"/>
        <v/>
      </c>
      <c r="BE230" s="62" t="str">
        <f t="shared" si="224"/>
        <v/>
      </c>
      <c r="BF230" s="62" t="str">
        <f t="shared" si="225"/>
        <v/>
      </c>
      <c r="BH230" s="62" t="str">
        <f t="shared" si="226"/>
        <v/>
      </c>
      <c r="BI230" s="62" t="str">
        <f t="shared" si="227"/>
        <v/>
      </c>
      <c r="BJ230" s="62" t="str">
        <f t="shared" si="228"/>
        <v/>
      </c>
      <c r="BK230" s="62" t="str">
        <f t="shared" si="229"/>
        <v/>
      </c>
      <c r="BM230" s="62" t="str">
        <f t="shared" si="230"/>
        <v/>
      </c>
      <c r="BN230" s="62" t="str">
        <f t="shared" si="231"/>
        <v/>
      </c>
      <c r="BO230" s="62" t="str">
        <f t="shared" si="232"/>
        <v/>
      </c>
      <c r="BP230" s="62" t="str">
        <f t="shared" si="233"/>
        <v/>
      </c>
    </row>
    <row r="231" spans="1:68" x14ac:dyDescent="0.25">
      <c r="A231" s="30"/>
      <c r="R231" s="63">
        <f t="shared" si="202"/>
        <v>0</v>
      </c>
      <c r="S231" s="63">
        <f t="shared" si="203"/>
        <v>0</v>
      </c>
      <c r="T231" s="63">
        <f t="shared" si="204"/>
        <v>0</v>
      </c>
      <c r="U231" s="63">
        <f t="shared" si="205"/>
        <v>0</v>
      </c>
      <c r="W231" s="11"/>
      <c r="X231" s="11"/>
      <c r="Y231" s="11"/>
      <c r="AL231" s="14"/>
      <c r="AM231" s="14"/>
      <c r="AN231" s="14" t="s">
        <v>19</v>
      </c>
      <c r="AO231" s="14"/>
      <c r="AQ231" s="60">
        <v>12</v>
      </c>
      <c r="AS231" s="62" t="str">
        <f>IF(AL231="","",IF(OR(AL231="Fr",AL231="La",AL231="Sn"),IF(AL231&lt;&gt;IFERROR(VLOOKUP(Wahlbogen!$B$6,F!$A$2:$C$22,3,0),"Sp"),"",AL231),AL231))</f>
        <v/>
      </c>
      <c r="AT231" s="62" t="str">
        <f>IF(AM231="","",IF(OR(AM231="Fr",AM231="La",AM231="Sn"),IF(AM231&lt;&gt;IFERROR(VLOOKUP(Wahlbogen!$B$6,F!$A$2:$C$22,3,0),"Sp"),"",AM231),AM231))</f>
        <v/>
      </c>
      <c r="AU231" s="62" t="str">
        <f>IF(AN231="","",IF(OR(AN231="Fr",AN231="La",AN231="Sn"),IF(AN231&lt;&gt;IFERROR(VLOOKUP(Wahlbogen!$B$6,F!$A$2:$C$22,3,0),"Sp"),"",AN231),AN231))</f>
        <v/>
      </c>
      <c r="AV231" s="62" t="str">
        <f>IF(AO231="","",IF(OR(AO231="Fr",AO231="La",AO231="Sn"),IF(AO231&lt;&gt;IFERROR(VLOOKUP(Wahlbogen!$B$6,F!$A$2:$C$22,3,0),"Sp"),"",AO231),AO231))</f>
        <v/>
      </c>
      <c r="AX231" s="62" t="str">
        <f t="shared" si="218"/>
        <v/>
      </c>
      <c r="AY231" s="62" t="str">
        <f t="shared" si="219"/>
        <v/>
      </c>
      <c r="AZ231" s="62" t="str">
        <f t="shared" si="220"/>
        <v/>
      </c>
      <c r="BA231" s="62" t="str">
        <f t="shared" si="221"/>
        <v/>
      </c>
      <c r="BC231" s="62" t="str">
        <f t="shared" si="222"/>
        <v/>
      </c>
      <c r="BD231" s="62" t="str">
        <f t="shared" si="223"/>
        <v/>
      </c>
      <c r="BE231" s="62" t="str">
        <f t="shared" si="224"/>
        <v/>
      </c>
      <c r="BF231" s="62" t="str">
        <f t="shared" si="225"/>
        <v/>
      </c>
      <c r="BH231" s="62" t="str">
        <f t="shared" si="226"/>
        <v/>
      </c>
      <c r="BI231" s="62" t="str">
        <f t="shared" si="227"/>
        <v/>
      </c>
      <c r="BJ231" s="62" t="str">
        <f t="shared" si="228"/>
        <v/>
      </c>
      <c r="BK231" s="62" t="str">
        <f t="shared" si="229"/>
        <v/>
      </c>
      <c r="BM231" s="62" t="str">
        <f t="shared" si="230"/>
        <v/>
      </c>
      <c r="BN231" s="62" t="str">
        <f t="shared" si="231"/>
        <v/>
      </c>
      <c r="BO231" s="62" t="str">
        <f t="shared" si="232"/>
        <v/>
      </c>
      <c r="BP231" s="62" t="str">
        <f t="shared" si="233"/>
        <v/>
      </c>
    </row>
    <row r="232" spans="1:68" x14ac:dyDescent="0.25">
      <c r="A232" s="30"/>
      <c r="R232" s="63">
        <f t="shared" si="202"/>
        <v>0</v>
      </c>
      <c r="S232" s="63">
        <f t="shared" si="203"/>
        <v>0</v>
      </c>
      <c r="T232" s="63">
        <f t="shared" si="204"/>
        <v>0</v>
      </c>
      <c r="U232" s="63">
        <f t="shared" si="205"/>
        <v>0</v>
      </c>
      <c r="W232" s="11"/>
      <c r="X232" s="11"/>
      <c r="Y232" s="11"/>
      <c r="AL232" s="14" t="s">
        <v>55</v>
      </c>
      <c r="AM232" s="14" t="s">
        <v>55</v>
      </c>
      <c r="AN232" s="14" t="s">
        <v>55</v>
      </c>
      <c r="AO232" s="14" t="s">
        <v>55</v>
      </c>
      <c r="AQ232" s="60">
        <v>13</v>
      </c>
      <c r="AS232" s="62" t="str">
        <f>IF(AL232="","",IF(OR(AL232="Fr",AL232="La",AL232="Sn"),IF(AL232&lt;&gt;IFERROR(VLOOKUP(Wahlbogen!$B$6,F!$A$2:$C$22,3,0),"Sp"),"",AL232),AL232))</f>
        <v>Ma</v>
      </c>
      <c r="AT232" s="62" t="str">
        <f>IF(AM232="","",IF(OR(AM232="Fr",AM232="La",AM232="Sn"),IF(AM232&lt;&gt;IFERROR(VLOOKUP(Wahlbogen!$B$6,F!$A$2:$C$22,3,0),"Sp"),"",AM232),AM232))</f>
        <v>Ma</v>
      </c>
      <c r="AU232" s="62" t="str">
        <f>IF(AN232="","",IF(OR(AN232="Fr",AN232="La",AN232="Sn"),IF(AN232&lt;&gt;IFERROR(VLOOKUP(Wahlbogen!$B$6,F!$A$2:$C$22,3,0),"Sp"),"",AN232),AN232))</f>
        <v>Ma</v>
      </c>
      <c r="AV232" s="62" t="str">
        <f>IF(AO232="","",IF(OR(AO232="Fr",AO232="La",AO232="Sn"),IF(AO232&lt;&gt;IFERROR(VLOOKUP(Wahlbogen!$B$6,F!$A$2:$C$22,3,0),"Sp"),"",AO232),AO232))</f>
        <v>Ma</v>
      </c>
      <c r="AX232" s="62">
        <f t="shared" si="218"/>
        <v>15</v>
      </c>
      <c r="AY232" s="62">
        <f t="shared" si="219"/>
        <v>15</v>
      </c>
      <c r="AZ232" s="62">
        <f t="shared" si="220"/>
        <v>15</v>
      </c>
      <c r="BA232" s="62">
        <f t="shared" si="221"/>
        <v>15</v>
      </c>
      <c r="BC232" s="62">
        <f t="shared" si="222"/>
        <v>3</v>
      </c>
      <c r="BD232" s="62">
        <f t="shared" si="223"/>
        <v>3</v>
      </c>
      <c r="BE232" s="62">
        <f t="shared" si="224"/>
        <v>3</v>
      </c>
      <c r="BF232" s="62">
        <f t="shared" si="225"/>
        <v>3</v>
      </c>
      <c r="BH232" s="62" t="str">
        <f t="shared" si="226"/>
        <v>Ma</v>
      </c>
      <c r="BI232" s="62" t="str">
        <f t="shared" si="227"/>
        <v>Ma</v>
      </c>
      <c r="BJ232" s="62" t="str">
        <f t="shared" si="228"/>
        <v>Ma</v>
      </c>
      <c r="BK232" s="62" t="str">
        <f t="shared" si="229"/>
        <v>Ma</v>
      </c>
      <c r="BM232" s="62" t="str">
        <f t="shared" si="230"/>
        <v/>
      </c>
      <c r="BN232" s="62" t="str">
        <f t="shared" si="231"/>
        <v/>
      </c>
      <c r="BO232" s="62" t="str">
        <f t="shared" si="232"/>
        <v/>
      </c>
      <c r="BP232" s="62" t="str">
        <f t="shared" si="233"/>
        <v/>
      </c>
    </row>
    <row r="233" spans="1:68" x14ac:dyDescent="0.25">
      <c r="R233" s="63">
        <f t="shared" si="202"/>
        <v>0</v>
      </c>
      <c r="S233" s="63">
        <f t="shared" si="203"/>
        <v>0</v>
      </c>
      <c r="T233" s="63">
        <f t="shared" si="204"/>
        <v>0</v>
      </c>
      <c r="U233" s="63">
        <f t="shared" si="205"/>
        <v>0</v>
      </c>
      <c r="W233" s="11"/>
      <c r="X233" s="11"/>
      <c r="Y233" s="11"/>
      <c r="AL233" s="14" t="s">
        <v>42</v>
      </c>
      <c r="AM233" s="14" t="s">
        <v>42</v>
      </c>
      <c r="AN233" s="14" t="s">
        <v>42</v>
      </c>
      <c r="AO233" s="14" t="s">
        <v>42</v>
      </c>
      <c r="AQ233" s="60">
        <v>14</v>
      </c>
      <c r="AS233" s="62" t="str">
        <f>IF(AL233="","",IF(OR(AL233="Fr",AL233="La",AL233="Sn"),IF(AL233&lt;&gt;IFERROR(VLOOKUP(Wahlbogen!$B$6,F!$A$2:$C$22,3,0),"Sp"),"",AL233),AL233))</f>
        <v>Bi</v>
      </c>
      <c r="AT233" s="62" t="str">
        <f>IF(AM233="","",IF(OR(AM233="Fr",AM233="La",AM233="Sn"),IF(AM233&lt;&gt;IFERROR(VLOOKUP(Wahlbogen!$B$6,F!$A$2:$C$22,3,0),"Sp"),"",AM233),AM233))</f>
        <v>Bi</v>
      </c>
      <c r="AU233" s="62" t="str">
        <f>IF(AN233="","",IF(OR(AN233="Fr",AN233="La",AN233="Sn"),IF(AN233&lt;&gt;IFERROR(VLOOKUP(Wahlbogen!$B$6,F!$A$2:$C$22,3,0),"Sp"),"",AN233),AN233))</f>
        <v>Bi</v>
      </c>
      <c r="AV233" s="62" t="str">
        <f>IF(AO233="","",IF(OR(AO233="Fr",AO233="La",AO233="Sn"),IF(AO233&lt;&gt;IFERROR(VLOOKUP(Wahlbogen!$B$6,F!$A$2:$C$22,3,0),"Sp"),"",AO233),AO233))</f>
        <v>Bi</v>
      </c>
      <c r="AX233" s="62">
        <f t="shared" si="218"/>
        <v>16</v>
      </c>
      <c r="AY233" s="62">
        <f t="shared" si="219"/>
        <v>16</v>
      </c>
      <c r="AZ233" s="62">
        <f t="shared" si="220"/>
        <v>16</v>
      </c>
      <c r="BA233" s="62">
        <f t="shared" si="221"/>
        <v>16</v>
      </c>
      <c r="BC233" s="62">
        <f t="shared" si="222"/>
        <v>4</v>
      </c>
      <c r="BD233" s="62">
        <f t="shared" si="223"/>
        <v>4</v>
      </c>
      <c r="BE233" s="62">
        <f t="shared" si="224"/>
        <v>4</v>
      </c>
      <c r="BF233" s="62">
        <f t="shared" si="225"/>
        <v>4</v>
      </c>
      <c r="BH233" s="62" t="str">
        <f t="shared" si="226"/>
        <v>Bi</v>
      </c>
      <c r="BI233" s="62" t="str">
        <f t="shared" si="227"/>
        <v>Bi</v>
      </c>
      <c r="BJ233" s="62" t="str">
        <f t="shared" si="228"/>
        <v>Bi</v>
      </c>
      <c r="BK233" s="62" t="str">
        <f t="shared" si="229"/>
        <v>Bi</v>
      </c>
      <c r="BM233" s="62" t="str">
        <f t="shared" si="230"/>
        <v/>
      </c>
      <c r="BN233" s="62" t="str">
        <f t="shared" si="231"/>
        <v/>
      </c>
      <c r="BO233" s="62" t="str">
        <f t="shared" si="232"/>
        <v/>
      </c>
      <c r="BP233" s="62" t="str">
        <f t="shared" si="233"/>
        <v/>
      </c>
    </row>
    <row r="234" spans="1:68" x14ac:dyDescent="0.25">
      <c r="R234" s="63">
        <f t="shared" si="202"/>
        <v>0</v>
      </c>
      <c r="S234" s="63">
        <f t="shared" si="203"/>
        <v>0</v>
      </c>
      <c r="T234" s="63">
        <f t="shared" si="204"/>
        <v>0</v>
      </c>
      <c r="U234" s="63">
        <f t="shared" si="205"/>
        <v>0</v>
      </c>
      <c r="W234" s="11"/>
      <c r="X234" s="11"/>
      <c r="Y234" s="11"/>
      <c r="AL234" s="14" t="s">
        <v>43</v>
      </c>
      <c r="AM234" s="14" t="s">
        <v>43</v>
      </c>
      <c r="AN234" s="14" t="s">
        <v>43</v>
      </c>
      <c r="AO234" s="14" t="s">
        <v>43</v>
      </c>
      <c r="AQ234" s="60">
        <v>15</v>
      </c>
      <c r="AS234" s="62" t="str">
        <f>IF(AL234="","",IF(OR(AL234="Fr",AL234="La",AL234="Sn"),IF(AL234&lt;&gt;IFERROR(VLOOKUP(Wahlbogen!$B$6,F!$A$2:$C$22,3,0),"Sp"),"",AL234),AL234))</f>
        <v>Ch</v>
      </c>
      <c r="AT234" s="62" t="str">
        <f>IF(AM234="","",IF(OR(AM234="Fr",AM234="La",AM234="Sn"),IF(AM234&lt;&gt;IFERROR(VLOOKUP(Wahlbogen!$B$6,F!$A$2:$C$22,3,0),"Sp"),"",AM234),AM234))</f>
        <v>Ch</v>
      </c>
      <c r="AU234" s="62" t="str">
        <f>IF(AN234="","",IF(OR(AN234="Fr",AN234="La",AN234="Sn"),IF(AN234&lt;&gt;IFERROR(VLOOKUP(Wahlbogen!$B$6,F!$A$2:$C$22,3,0),"Sp"),"",AN234),AN234))</f>
        <v>Ch</v>
      </c>
      <c r="AV234" s="62" t="str">
        <f>IF(AO234="","",IF(OR(AO234="Fr",AO234="La",AO234="Sn"),IF(AO234&lt;&gt;IFERROR(VLOOKUP(Wahlbogen!$B$6,F!$A$2:$C$22,3,0),"Sp"),"",AO234),AO234))</f>
        <v>Ch</v>
      </c>
      <c r="AX234" s="62">
        <f t="shared" si="218"/>
        <v>17</v>
      </c>
      <c r="AY234" s="62">
        <f t="shared" si="219"/>
        <v>17</v>
      </c>
      <c r="AZ234" s="62">
        <f t="shared" si="220"/>
        <v>17</v>
      </c>
      <c r="BA234" s="62">
        <f t="shared" si="221"/>
        <v>17</v>
      </c>
      <c r="BC234" s="62">
        <f t="shared" si="222"/>
        <v>5</v>
      </c>
      <c r="BD234" s="62">
        <f t="shared" si="223"/>
        <v>5</v>
      </c>
      <c r="BE234" s="62">
        <f t="shared" si="224"/>
        <v>5</v>
      </c>
      <c r="BF234" s="62">
        <f t="shared" si="225"/>
        <v>5</v>
      </c>
      <c r="BH234" s="62" t="str">
        <f t="shared" si="226"/>
        <v>Ch</v>
      </c>
      <c r="BI234" s="62" t="str">
        <f t="shared" si="227"/>
        <v>Ch</v>
      </c>
      <c r="BJ234" s="62" t="str">
        <f t="shared" si="228"/>
        <v>Ch</v>
      </c>
      <c r="BK234" s="62" t="str">
        <f t="shared" si="229"/>
        <v>Ch</v>
      </c>
      <c r="BM234" s="62" t="str">
        <f t="shared" si="230"/>
        <v/>
      </c>
      <c r="BN234" s="62" t="str">
        <f t="shared" si="231"/>
        <v/>
      </c>
      <c r="BO234" s="62" t="str">
        <f t="shared" si="232"/>
        <v/>
      </c>
      <c r="BP234" s="62" t="str">
        <f t="shared" si="233"/>
        <v/>
      </c>
    </row>
    <row r="235" spans="1:68" x14ac:dyDescent="0.25">
      <c r="R235" s="63">
        <f t="shared" si="202"/>
        <v>0</v>
      </c>
      <c r="S235" s="63">
        <f t="shared" si="203"/>
        <v>0</v>
      </c>
      <c r="T235" s="63">
        <f t="shared" si="204"/>
        <v>0</v>
      </c>
      <c r="U235" s="63">
        <f t="shared" si="205"/>
        <v>0</v>
      </c>
      <c r="W235" s="11"/>
      <c r="X235" s="11"/>
      <c r="Y235" s="11"/>
      <c r="AL235" s="14" t="s">
        <v>57</v>
      </c>
      <c r="AM235" s="14" t="s">
        <v>57</v>
      </c>
      <c r="AN235" s="14" t="s">
        <v>57</v>
      </c>
      <c r="AO235" s="14" t="s">
        <v>57</v>
      </c>
      <c r="AQ235" s="60">
        <v>16</v>
      </c>
      <c r="AS235" s="62" t="str">
        <f>IF(AL235="","",IF(OR(AL235="Fr",AL235="La",AL235="Sn"),IF(AL235&lt;&gt;IFERROR(VLOOKUP(Wahlbogen!$B$6,F!$A$2:$C$22,3,0),"Sp"),"",AL235),AL235))</f>
        <v>Ph</v>
      </c>
      <c r="AT235" s="62" t="str">
        <f>IF(AM235="","",IF(OR(AM235="Fr",AM235="La",AM235="Sn"),IF(AM235&lt;&gt;IFERROR(VLOOKUP(Wahlbogen!$B$6,F!$A$2:$C$22,3,0),"Sp"),"",AM235),AM235))</f>
        <v>Ph</v>
      </c>
      <c r="AU235" s="62" t="str">
        <f>IF(AN235="","",IF(OR(AN235="Fr",AN235="La",AN235="Sn"),IF(AN235&lt;&gt;IFERROR(VLOOKUP(Wahlbogen!$B$6,F!$A$2:$C$22,3,0),"Sp"),"",AN235),AN235))</f>
        <v>Ph</v>
      </c>
      <c r="AV235" s="62" t="str">
        <f>IF(AO235="","",IF(OR(AO235="Fr",AO235="La",AO235="Sn"),IF(AO235&lt;&gt;IFERROR(VLOOKUP(Wahlbogen!$B$6,F!$A$2:$C$22,3,0),"Sp"),"",AO235),AO235))</f>
        <v>Ph</v>
      </c>
      <c r="AX235" s="62">
        <f t="shared" si="218"/>
        <v>18</v>
      </c>
      <c r="AY235" s="62">
        <f t="shared" si="219"/>
        <v>18</v>
      </c>
      <c r="AZ235" s="62">
        <f t="shared" si="220"/>
        <v>18</v>
      </c>
      <c r="BA235" s="62">
        <f t="shared" si="221"/>
        <v>18</v>
      </c>
      <c r="BC235" s="62">
        <f t="shared" si="222"/>
        <v>6</v>
      </c>
      <c r="BD235" s="62">
        <f t="shared" si="223"/>
        <v>6</v>
      </c>
      <c r="BE235" s="62">
        <f t="shared" si="224"/>
        <v>6</v>
      </c>
      <c r="BF235" s="62">
        <f t="shared" si="225"/>
        <v>6</v>
      </c>
      <c r="BH235" s="62" t="str">
        <f t="shared" si="226"/>
        <v>Ph</v>
      </c>
      <c r="BI235" s="62" t="str">
        <f t="shared" si="227"/>
        <v>Ph</v>
      </c>
      <c r="BJ235" s="62" t="str">
        <f t="shared" si="228"/>
        <v>Ph</v>
      </c>
      <c r="BK235" s="62" t="str">
        <f t="shared" si="229"/>
        <v>Ph</v>
      </c>
      <c r="BM235" s="62" t="str">
        <f t="shared" si="230"/>
        <v/>
      </c>
      <c r="BN235" s="62" t="str">
        <f t="shared" si="231"/>
        <v/>
      </c>
      <c r="BO235" s="62" t="str">
        <f t="shared" si="232"/>
        <v/>
      </c>
      <c r="BP235" s="62" t="str">
        <f t="shared" si="233"/>
        <v/>
      </c>
    </row>
    <row r="236" spans="1:68" x14ac:dyDescent="0.25">
      <c r="R236" s="63">
        <f t="shared" si="202"/>
        <v>0</v>
      </c>
      <c r="S236" s="63">
        <f t="shared" si="203"/>
        <v>0</v>
      </c>
      <c r="T236" s="63">
        <f t="shared" si="204"/>
        <v>0</v>
      </c>
      <c r="U236" s="63">
        <f t="shared" si="205"/>
        <v>0</v>
      </c>
      <c r="W236" s="11"/>
      <c r="X236" s="11"/>
      <c r="Y236" s="11"/>
      <c r="AL236" s="14" t="s">
        <v>19</v>
      </c>
      <c r="AM236" s="14" t="s">
        <v>19</v>
      </c>
      <c r="AN236" s="14" t="s">
        <v>19</v>
      </c>
      <c r="AO236" s="14" t="s">
        <v>19</v>
      </c>
      <c r="AQ236" s="60">
        <v>17</v>
      </c>
      <c r="AS236" s="62" t="str">
        <f>IF(AL236="","",IF(OR(AL236="Fr",AL236="La",AL236="Sn"),IF(AL236&lt;&gt;IFERROR(VLOOKUP(Wahlbogen!$B$6,F!$A$2:$C$22,3,0),"Sp"),"",AL236),AL236))</f>
        <v/>
      </c>
      <c r="AT236" s="62" t="str">
        <f>IF(AM236="","",IF(OR(AM236="Fr",AM236="La",AM236="Sn"),IF(AM236&lt;&gt;IFERROR(VLOOKUP(Wahlbogen!$B$6,F!$A$2:$C$22,3,0),"Sp"),"",AM236),AM236))</f>
        <v/>
      </c>
      <c r="AU236" s="62" t="str">
        <f>IF(AN236="","",IF(OR(AN236="Fr",AN236="La",AN236="Sn"),IF(AN236&lt;&gt;IFERROR(VLOOKUP(Wahlbogen!$B$6,F!$A$2:$C$22,3,0),"Sp"),"",AN236),AN236))</f>
        <v/>
      </c>
      <c r="AV236" s="62" t="str">
        <f>IF(AO236="","",IF(OR(AO236="Fr",AO236="La",AO236="Sn"),IF(AO236&lt;&gt;IFERROR(VLOOKUP(Wahlbogen!$B$6,F!$A$2:$C$22,3,0),"Sp"),"",AO236),AO236))</f>
        <v/>
      </c>
      <c r="AX236" s="62" t="str">
        <f t="shared" si="218"/>
        <v/>
      </c>
      <c r="AY236" s="62" t="str">
        <f t="shared" si="219"/>
        <v/>
      </c>
      <c r="AZ236" s="62" t="str">
        <f t="shared" si="220"/>
        <v/>
      </c>
      <c r="BA236" s="62" t="str">
        <f t="shared" si="221"/>
        <v/>
      </c>
      <c r="BC236" s="62" t="str">
        <f t="shared" si="222"/>
        <v/>
      </c>
      <c r="BD236" s="62" t="str">
        <f t="shared" si="223"/>
        <v/>
      </c>
      <c r="BE236" s="62" t="str">
        <f t="shared" si="224"/>
        <v/>
      </c>
      <c r="BF236" s="62" t="str">
        <f t="shared" si="225"/>
        <v/>
      </c>
      <c r="BH236" s="62" t="str">
        <f t="shared" si="226"/>
        <v/>
      </c>
      <c r="BI236" s="62" t="str">
        <f t="shared" si="227"/>
        <v/>
      </c>
      <c r="BJ236" s="62" t="str">
        <f t="shared" si="228"/>
        <v/>
      </c>
      <c r="BK236" s="62" t="str">
        <f t="shared" si="229"/>
        <v/>
      </c>
      <c r="BM236" s="62" t="str">
        <f t="shared" si="230"/>
        <v/>
      </c>
      <c r="BN236" s="62" t="str">
        <f t="shared" si="231"/>
        <v/>
      </c>
      <c r="BO236" s="62" t="str">
        <f t="shared" si="232"/>
        <v/>
      </c>
      <c r="BP236" s="62" t="str">
        <f t="shared" si="233"/>
        <v/>
      </c>
    </row>
    <row r="237" spans="1:68" x14ac:dyDescent="0.25">
      <c r="R237" s="63">
        <f t="shared" si="202"/>
        <v>0</v>
      </c>
      <c r="S237" s="63">
        <f t="shared" si="203"/>
        <v>0</v>
      </c>
      <c r="T237" s="63">
        <f t="shared" si="204"/>
        <v>0</v>
      </c>
      <c r="U237" s="63">
        <f t="shared" si="205"/>
        <v>0</v>
      </c>
      <c r="W237" s="11"/>
      <c r="X237" s="11"/>
      <c r="Y237" s="11"/>
      <c r="AL237" s="14"/>
      <c r="AM237" s="14"/>
      <c r="AN237" s="14"/>
      <c r="AO237" s="14"/>
      <c r="AQ237" s="60">
        <v>18</v>
      </c>
      <c r="AS237" s="62" t="str">
        <f>IF(AL237="","",IF(OR(AL237="Fr",AL237="La",AL237="Sn"),IF(AL237&lt;&gt;IFERROR(VLOOKUP(Wahlbogen!$B$6,F!$A$2:$C$22,3,0),"Sp"),"",AL237),AL237))</f>
        <v/>
      </c>
      <c r="AT237" s="62" t="str">
        <f>IF(AM237="","",IF(OR(AM237="Fr",AM237="La",AM237="Sn"),IF(AM237&lt;&gt;IFERROR(VLOOKUP(Wahlbogen!$B$6,F!$A$2:$C$22,3,0),"Sp"),"",AM237),AM237))</f>
        <v/>
      </c>
      <c r="AU237" s="62" t="str">
        <f>IF(AN237="","",IF(OR(AN237="Fr",AN237="La",AN237="Sn"),IF(AN237&lt;&gt;IFERROR(VLOOKUP(Wahlbogen!$B$6,F!$A$2:$C$22,3,0),"Sp"),"",AN237),AN237))</f>
        <v/>
      </c>
      <c r="AV237" s="62" t="str">
        <f>IF(AO237="","",IF(OR(AO237="Fr",AO237="La",AO237="Sn"),IF(AO237&lt;&gt;IFERROR(VLOOKUP(Wahlbogen!$B$6,F!$A$2:$C$22,3,0),"Sp"),"",AO237),AO237))</f>
        <v/>
      </c>
      <c r="AX237" s="62" t="str">
        <f t="shared" si="218"/>
        <v/>
      </c>
      <c r="AY237" s="62" t="str">
        <f t="shared" si="219"/>
        <v/>
      </c>
      <c r="AZ237" s="62" t="str">
        <f t="shared" si="220"/>
        <v/>
      </c>
      <c r="BA237" s="62" t="str">
        <f t="shared" si="221"/>
        <v/>
      </c>
      <c r="BC237" s="62" t="str">
        <f t="shared" si="222"/>
        <v/>
      </c>
      <c r="BD237" s="62" t="str">
        <f t="shared" si="223"/>
        <v/>
      </c>
      <c r="BE237" s="62" t="str">
        <f t="shared" si="224"/>
        <v/>
      </c>
      <c r="BF237" s="62" t="str">
        <f t="shared" si="225"/>
        <v/>
      </c>
      <c r="BH237" s="62" t="str">
        <f t="shared" si="226"/>
        <v/>
      </c>
      <c r="BI237" s="62" t="str">
        <f t="shared" si="227"/>
        <v/>
      </c>
      <c r="BJ237" s="62" t="str">
        <f t="shared" si="228"/>
        <v/>
      </c>
      <c r="BK237" s="62" t="str">
        <f t="shared" si="229"/>
        <v/>
      </c>
      <c r="BM237" s="62" t="str">
        <f t="shared" si="230"/>
        <v/>
      </c>
      <c r="BN237" s="62" t="str">
        <f t="shared" si="231"/>
        <v/>
      </c>
      <c r="BO237" s="62" t="str">
        <f t="shared" si="232"/>
        <v/>
      </c>
      <c r="BP237" s="62" t="str">
        <f t="shared" si="233"/>
        <v/>
      </c>
    </row>
    <row r="238" spans="1:68" x14ac:dyDescent="0.25">
      <c r="R238" s="63">
        <f t="shared" si="202"/>
        <v>0</v>
      </c>
      <c r="S238" s="63">
        <f t="shared" si="203"/>
        <v>0</v>
      </c>
      <c r="T238" s="63">
        <f t="shared" si="204"/>
        <v>0</v>
      </c>
      <c r="U238" s="63">
        <f t="shared" si="205"/>
        <v>0</v>
      </c>
      <c r="W238" s="11"/>
      <c r="X238" s="11"/>
      <c r="Y238" s="11"/>
      <c r="AL238" s="14" t="s">
        <v>19</v>
      </c>
      <c r="AM238" s="14" t="s">
        <v>19</v>
      </c>
      <c r="AN238" s="14" t="s">
        <v>19</v>
      </c>
      <c r="AO238" s="14" t="s">
        <v>19</v>
      </c>
      <c r="AQ238" s="60">
        <v>19</v>
      </c>
      <c r="AS238" s="62" t="str">
        <f>IF(AL238="","",IF(OR(AL238="Fr",AL238="La",AL238="Sn"),IF(AL238&lt;&gt;IFERROR(VLOOKUP(Wahlbogen!$B$6,F!$A$2:$C$22,3,0),"Sp"),"",AL238),AL238))</f>
        <v/>
      </c>
      <c r="AT238" s="62" t="str">
        <f>IF(AM238="","",IF(OR(AM238="Fr",AM238="La",AM238="Sn"),IF(AM238&lt;&gt;IFERROR(VLOOKUP(Wahlbogen!$B$6,F!$A$2:$C$22,3,0),"Sp"),"",AM238),AM238))</f>
        <v/>
      </c>
      <c r="AU238" s="62" t="str">
        <f>IF(AN238="","",IF(OR(AN238="Fr",AN238="La",AN238="Sn"),IF(AN238&lt;&gt;IFERROR(VLOOKUP(Wahlbogen!$B$6,F!$A$2:$C$22,3,0),"Sp"),"",AN238),AN238))</f>
        <v/>
      </c>
      <c r="AV238" s="62" t="str">
        <f>IF(AO238="","",IF(OR(AO238="Fr",AO238="La",AO238="Sn"),IF(AO238&lt;&gt;IFERROR(VLOOKUP(Wahlbogen!$B$6,F!$A$2:$C$22,3,0),"Sp"),"",AO238),AO238))</f>
        <v/>
      </c>
      <c r="AX238" s="62" t="str">
        <f t="shared" si="218"/>
        <v/>
      </c>
      <c r="AY238" s="62" t="str">
        <f t="shared" si="219"/>
        <v/>
      </c>
      <c r="AZ238" s="62" t="str">
        <f t="shared" si="220"/>
        <v/>
      </c>
      <c r="BA238" s="62" t="str">
        <f t="shared" si="221"/>
        <v/>
      </c>
      <c r="BC238" s="62" t="str">
        <f t="shared" si="222"/>
        <v/>
      </c>
      <c r="BD238" s="62" t="str">
        <f t="shared" si="223"/>
        <v/>
      </c>
      <c r="BE238" s="62" t="str">
        <f t="shared" si="224"/>
        <v/>
      </c>
      <c r="BF238" s="62" t="str">
        <f t="shared" si="225"/>
        <v/>
      </c>
      <c r="BH238" s="62" t="str">
        <f t="shared" si="226"/>
        <v/>
      </c>
      <c r="BI238" s="62" t="str">
        <f t="shared" si="227"/>
        <v/>
      </c>
      <c r="BJ238" s="62" t="str">
        <f t="shared" si="228"/>
        <v/>
      </c>
      <c r="BK238" s="62" t="str">
        <f t="shared" si="229"/>
        <v/>
      </c>
      <c r="BM238" s="62" t="str">
        <f t="shared" si="230"/>
        <v/>
      </c>
      <c r="BN238" s="62" t="str">
        <f t="shared" si="231"/>
        <v/>
      </c>
      <c r="BO238" s="62" t="str">
        <f t="shared" si="232"/>
        <v/>
      </c>
      <c r="BP238" s="62" t="str">
        <f t="shared" si="233"/>
        <v/>
      </c>
    </row>
    <row r="239" spans="1:68" x14ac:dyDescent="0.25">
      <c r="R239" s="63">
        <f t="shared" si="202"/>
        <v>0</v>
      </c>
      <c r="S239" s="63">
        <f t="shared" si="203"/>
        <v>0</v>
      </c>
      <c r="T239" s="63">
        <f t="shared" si="204"/>
        <v>0</v>
      </c>
      <c r="U239" s="63">
        <f t="shared" si="205"/>
        <v>0</v>
      </c>
      <c r="W239" s="11"/>
      <c r="X239" s="11"/>
      <c r="Y239" s="11"/>
      <c r="AL239" s="14" t="s">
        <v>19</v>
      </c>
      <c r="AM239" s="14" t="s">
        <v>19</v>
      </c>
      <c r="AN239" s="14" t="s">
        <v>19</v>
      </c>
      <c r="AO239" s="14" t="s">
        <v>19</v>
      </c>
      <c r="AQ239" s="60">
        <v>20</v>
      </c>
      <c r="AS239" s="62" t="str">
        <f>IF(AL239="","",IF(OR(AL239="Fr",AL239="La",AL239="Sn"),IF(AL239&lt;&gt;IFERROR(VLOOKUP(Wahlbogen!$B$6,F!$A$2:$C$22,3,0),"Sp"),"",AL239),AL239))</f>
        <v/>
      </c>
      <c r="AT239" s="62" t="str">
        <f>IF(AM239="","",IF(OR(AM239="Fr",AM239="La",AM239="Sn"),IF(AM239&lt;&gt;IFERROR(VLOOKUP(Wahlbogen!$B$6,F!$A$2:$C$22,3,0),"Sp"),"",AM239),AM239))</f>
        <v/>
      </c>
      <c r="AU239" s="62" t="str">
        <f>IF(AN239="","",IF(OR(AN239="Fr",AN239="La",AN239="Sn"),IF(AN239&lt;&gt;IFERROR(VLOOKUP(Wahlbogen!$B$6,F!$A$2:$C$22,3,0),"Sp"),"",AN239),AN239))</f>
        <v/>
      </c>
      <c r="AV239" s="62" t="str">
        <f>IF(AO239="","",IF(OR(AO239="Fr",AO239="La",AO239="Sn"),IF(AO239&lt;&gt;IFERROR(VLOOKUP(Wahlbogen!$B$6,F!$A$2:$C$22,3,0),"Sp"),"",AO239),AO239))</f>
        <v/>
      </c>
      <c r="AX239" s="62" t="str">
        <f t="shared" si="218"/>
        <v/>
      </c>
      <c r="AY239" s="62" t="str">
        <f t="shared" si="219"/>
        <v/>
      </c>
      <c r="AZ239" s="62" t="str">
        <f t="shared" si="220"/>
        <v/>
      </c>
      <c r="BA239" s="62" t="str">
        <f t="shared" si="221"/>
        <v/>
      </c>
      <c r="BC239" s="62" t="str">
        <f t="shared" si="222"/>
        <v/>
      </c>
      <c r="BD239" s="62" t="str">
        <f t="shared" si="223"/>
        <v/>
      </c>
      <c r="BE239" s="62" t="str">
        <f t="shared" si="224"/>
        <v/>
      </c>
      <c r="BF239" s="62" t="str">
        <f t="shared" si="225"/>
        <v/>
      </c>
      <c r="BH239" s="62" t="str">
        <f t="shared" si="226"/>
        <v/>
      </c>
      <c r="BI239" s="62" t="str">
        <f t="shared" si="227"/>
        <v/>
      </c>
      <c r="BJ239" s="62" t="str">
        <f t="shared" si="228"/>
        <v/>
      </c>
      <c r="BK239" s="62" t="str">
        <f t="shared" si="229"/>
        <v/>
      </c>
      <c r="BM239" s="62" t="str">
        <f t="shared" si="230"/>
        <v/>
      </c>
      <c r="BN239" s="62" t="str">
        <f t="shared" si="231"/>
        <v/>
      </c>
      <c r="BO239" s="62" t="str">
        <f t="shared" si="232"/>
        <v/>
      </c>
      <c r="BP239" s="62" t="str">
        <f t="shared" si="233"/>
        <v/>
      </c>
    </row>
    <row r="240" spans="1:68" x14ac:dyDescent="0.25">
      <c r="R240" s="63">
        <f t="shared" si="202"/>
        <v>0</v>
      </c>
      <c r="S240" s="63">
        <f t="shared" si="203"/>
        <v>0</v>
      </c>
      <c r="T240" s="63">
        <f t="shared" si="204"/>
        <v>0</v>
      </c>
      <c r="U240" s="63">
        <f t="shared" si="205"/>
        <v>0</v>
      </c>
      <c r="W240" s="11"/>
      <c r="X240" s="11"/>
      <c r="Y240" s="11"/>
    </row>
    <row r="241" spans="18:25" x14ac:dyDescent="0.25">
      <c r="R241" s="63">
        <f t="shared" si="202"/>
        <v>0</v>
      </c>
      <c r="S241" s="63">
        <f t="shared" si="203"/>
        <v>0</v>
      </c>
      <c r="T241" s="63">
        <f t="shared" si="204"/>
        <v>0</v>
      </c>
      <c r="U241" s="63">
        <f t="shared" si="205"/>
        <v>0</v>
      </c>
      <c r="W241" s="11"/>
      <c r="X241" s="11"/>
      <c r="Y241" s="11"/>
    </row>
    <row r="242" spans="18:25" x14ac:dyDescent="0.25">
      <c r="R242" s="63">
        <f t="shared" si="202"/>
        <v>0</v>
      </c>
      <c r="S242" s="63">
        <f t="shared" si="203"/>
        <v>0</v>
      </c>
      <c r="T242" s="63">
        <f t="shared" si="204"/>
        <v>0</v>
      </c>
      <c r="U242" s="63">
        <f t="shared" si="205"/>
        <v>0</v>
      </c>
      <c r="W242" s="11"/>
      <c r="X242" s="11"/>
      <c r="Y242" s="11"/>
    </row>
    <row r="243" spans="18:25" x14ac:dyDescent="0.25">
      <c r="R243" s="63">
        <f t="shared" si="202"/>
        <v>0</v>
      </c>
      <c r="S243" s="63">
        <f t="shared" si="203"/>
        <v>0</v>
      </c>
      <c r="T243" s="63">
        <f t="shared" si="204"/>
        <v>0</v>
      </c>
      <c r="U243" s="63">
        <f t="shared" si="205"/>
        <v>0</v>
      </c>
      <c r="W243" s="11"/>
      <c r="X243" s="11"/>
      <c r="Y243" s="11"/>
    </row>
    <row r="244" spans="18:25" x14ac:dyDescent="0.25">
      <c r="R244" s="63">
        <f t="shared" si="202"/>
        <v>0</v>
      </c>
      <c r="S244" s="63">
        <f t="shared" si="203"/>
        <v>0</v>
      </c>
      <c r="T244" s="63">
        <f t="shared" si="204"/>
        <v>0</v>
      </c>
      <c r="U244" s="63">
        <f t="shared" si="205"/>
        <v>0</v>
      </c>
      <c r="W244" s="11"/>
      <c r="X244" s="11"/>
      <c r="Y244" s="11"/>
    </row>
    <row r="245" spans="18:25" x14ac:dyDescent="0.25">
      <c r="R245" s="63">
        <f t="shared" si="202"/>
        <v>0</v>
      </c>
      <c r="S245" s="63">
        <f t="shared" si="203"/>
        <v>0</v>
      </c>
      <c r="T245" s="63">
        <f t="shared" si="204"/>
        <v>0</v>
      </c>
      <c r="U245" s="63">
        <f t="shared" si="205"/>
        <v>0</v>
      </c>
      <c r="W245" s="11"/>
      <c r="X245" s="11"/>
      <c r="Y245" s="11"/>
    </row>
    <row r="246" spans="18:25" x14ac:dyDescent="0.25">
      <c r="R246" s="63">
        <f t="shared" si="202"/>
        <v>0</v>
      </c>
      <c r="S246" s="63">
        <f t="shared" si="203"/>
        <v>0</v>
      </c>
      <c r="T246" s="63">
        <f t="shared" si="204"/>
        <v>0</v>
      </c>
      <c r="U246" s="63">
        <f t="shared" si="205"/>
        <v>0</v>
      </c>
      <c r="W246" s="11"/>
      <c r="X246" s="11"/>
      <c r="Y246" s="11"/>
    </row>
    <row r="247" spans="18:25" x14ac:dyDescent="0.25">
      <c r="R247" s="63">
        <f t="shared" si="202"/>
        <v>0</v>
      </c>
      <c r="S247" s="63">
        <f t="shared" si="203"/>
        <v>0</v>
      </c>
      <c r="T247" s="63">
        <f t="shared" si="204"/>
        <v>0</v>
      </c>
      <c r="U247" s="63">
        <f t="shared" si="205"/>
        <v>0</v>
      </c>
      <c r="W247" s="11"/>
      <c r="X247" s="11"/>
      <c r="Y247" s="11"/>
    </row>
    <row r="248" spans="18:25" x14ac:dyDescent="0.25">
      <c r="R248" s="63">
        <f t="shared" si="202"/>
        <v>0</v>
      </c>
      <c r="S248" s="63">
        <f t="shared" si="203"/>
        <v>0</v>
      </c>
      <c r="T248" s="63">
        <f t="shared" si="204"/>
        <v>0</v>
      </c>
      <c r="U248" s="63">
        <f t="shared" si="205"/>
        <v>0</v>
      </c>
      <c r="W248" s="11"/>
      <c r="X248" s="11"/>
      <c r="Y248" s="11"/>
    </row>
    <row r="249" spans="18:25" x14ac:dyDescent="0.25">
      <c r="W249" s="11"/>
      <c r="X249" s="11"/>
      <c r="Y249" s="11"/>
    </row>
  </sheetData>
  <sheetProtection algorithmName="SHA-512" hashValue="EpL8Y//jTOKIHHBRpTrkaCqD+WsoLL4/hFVG7jppIjMrZejdE3fDj+fyFUCVYD58s5oEuSHhQMubTDf7GQ2Bgw==" saltValue="d2xUfugcO5TkakECLBKAGw==" spinCount="100000" sheet="1" selectLockedCells="1" selectUnlockedCells="1"/>
  <sortState xmlns:xlrd2="http://schemas.microsoft.com/office/spreadsheetml/2017/richdata2" ref="A2:A20">
    <sortCondition ref="A2"/>
  </sortState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AJ111"/>
  <sheetViews>
    <sheetView tabSelected="1" zoomScaleNormal="100" zoomScalePageLayoutView="115" workbookViewId="0">
      <selection activeCell="B4" sqref="B4"/>
    </sheetView>
  </sheetViews>
  <sheetFormatPr baseColWidth="10" defaultColWidth="11.140625" defaultRowHeight="15" x14ac:dyDescent="0.25"/>
  <cols>
    <col min="1" max="1" width="32.7109375" style="1" customWidth="1"/>
    <col min="2" max="3" width="25.85546875" style="1" customWidth="1"/>
    <col min="4" max="4" width="2.85546875" style="1" customWidth="1"/>
    <col min="5" max="5" width="4.85546875" style="1" customWidth="1"/>
    <col min="6" max="6" width="9.7109375" style="1" hidden="1" customWidth="1"/>
    <col min="7" max="7" width="12.140625" style="75" hidden="1" customWidth="1"/>
    <col min="8" max="10" width="11.140625" style="75" hidden="1" customWidth="1"/>
    <col min="11" max="11" width="21.7109375" style="75" hidden="1" customWidth="1"/>
    <col min="12" max="12" width="14.7109375" style="75" hidden="1" customWidth="1"/>
    <col min="13" max="13" width="19.28515625" style="75" hidden="1" customWidth="1"/>
    <col min="14" max="14" width="13.42578125" style="75" hidden="1" customWidth="1"/>
    <col min="15" max="29" width="11.140625" style="75" hidden="1" customWidth="1"/>
    <col min="30" max="36" width="11.140625" style="1" hidden="1" customWidth="1"/>
    <col min="37" max="45" width="11.140625" style="1" customWidth="1"/>
    <col min="46" max="16384" width="11.140625" style="1"/>
  </cols>
  <sheetData>
    <row r="1" spans="1:22" ht="28.5" x14ac:dyDescent="0.45">
      <c r="A1" s="72" t="str">
        <f>F!I3&amp; ", "&amp;F!I4</f>
        <v>Wahlen zur Qualifikationsphase Abitur 2025, Johanneum Lüneburg</v>
      </c>
      <c r="B1" s="73"/>
      <c r="C1" s="73"/>
      <c r="D1" s="73"/>
      <c r="E1" s="73"/>
      <c r="F1" s="74"/>
      <c r="P1" s="76"/>
      <c r="Q1" s="77" t="s">
        <v>201</v>
      </c>
      <c r="R1" s="77" t="s">
        <v>202</v>
      </c>
      <c r="S1" s="76">
        <v>1</v>
      </c>
      <c r="T1" s="76">
        <v>2</v>
      </c>
      <c r="U1" s="76">
        <v>3</v>
      </c>
      <c r="V1" s="76">
        <v>4</v>
      </c>
    </row>
    <row r="2" spans="1:22" x14ac:dyDescent="0.25">
      <c r="N2" s="86"/>
      <c r="P2" s="77" t="s">
        <v>42</v>
      </c>
      <c r="Q2" s="77">
        <f t="shared" ref="Q2:Q7" si="0">COUNTIF($O$40:$O$41,P2)</f>
        <v>0</v>
      </c>
      <c r="R2" s="77">
        <f t="shared" ref="R2:R7" si="1">COUNTIF($O$40,$P2)+COUNTIF($O$42,$P2)</f>
        <v>0</v>
      </c>
      <c r="S2" s="76">
        <f>Q5+Q6+Q10+Q15+Q20</f>
        <v>0</v>
      </c>
      <c r="T2" s="76">
        <f>Q17+Q14+Q16+Q5</f>
        <v>0</v>
      </c>
      <c r="U2" s="76">
        <f>R11+R8+R19+R9</f>
        <v>0</v>
      </c>
      <c r="V2" s="76">
        <f>Q2+Q3+Q13+Q16+Q18</f>
        <v>0</v>
      </c>
    </row>
    <row r="3" spans="1:22" ht="18.75" x14ac:dyDescent="0.3">
      <c r="A3" s="78" t="s">
        <v>183</v>
      </c>
      <c r="B3" s="79"/>
      <c r="C3" s="80" t="str">
        <f>IF(SUM(I4:I10)=0,"okay","")</f>
        <v/>
      </c>
      <c r="D3" s="1" t="s">
        <v>184</v>
      </c>
      <c r="N3" s="86"/>
      <c r="P3" s="77" t="s">
        <v>43</v>
      </c>
      <c r="Q3" s="77">
        <f t="shared" si="0"/>
        <v>0</v>
      </c>
      <c r="R3" s="77">
        <f t="shared" si="1"/>
        <v>0</v>
      </c>
    </row>
    <row r="4" spans="1:22" x14ac:dyDescent="0.25">
      <c r="A4" s="126" t="s">
        <v>66</v>
      </c>
      <c r="B4" s="127"/>
      <c r="C4" s="81"/>
      <c r="D4" s="82" t="str">
        <f>IF(I4=1,"f","")</f>
        <v>f</v>
      </c>
      <c r="I4" s="77">
        <f>IF(B4="",1,0)</f>
        <v>1</v>
      </c>
      <c r="J4" s="76" t="str">
        <f>SUBSTITUTE(B4,"#","")</f>
        <v/>
      </c>
      <c r="L4" s="83"/>
      <c r="N4" s="86"/>
      <c r="P4" s="77" t="s">
        <v>44</v>
      </c>
      <c r="Q4" s="77">
        <f t="shared" si="0"/>
        <v>0</v>
      </c>
      <c r="R4" s="77">
        <f t="shared" si="1"/>
        <v>0</v>
      </c>
    </row>
    <row r="5" spans="1:22" x14ac:dyDescent="0.25">
      <c r="A5" s="126" t="s">
        <v>95</v>
      </c>
      <c r="B5" s="127"/>
      <c r="C5" s="81"/>
      <c r="D5" s="82" t="str">
        <f t="shared" ref="D5:D10" si="2">IF(I5=1,"f","")</f>
        <v>f</v>
      </c>
      <c r="I5" s="77">
        <f>IF(B5="",1,0)</f>
        <v>1</v>
      </c>
      <c r="J5" s="76" t="str">
        <f>SUBSTITUTE(B5,"#","")</f>
        <v/>
      </c>
      <c r="L5" s="83"/>
      <c r="N5" s="86"/>
      <c r="P5" s="77" t="s">
        <v>45</v>
      </c>
      <c r="Q5" s="77">
        <f t="shared" si="0"/>
        <v>0</v>
      </c>
      <c r="R5" s="77">
        <f t="shared" si="1"/>
        <v>0</v>
      </c>
    </row>
    <row r="6" spans="1:22" x14ac:dyDescent="0.25">
      <c r="A6" s="126" t="s">
        <v>231</v>
      </c>
      <c r="B6" s="127"/>
      <c r="C6" s="81"/>
      <c r="D6" s="82" t="str">
        <f t="shared" si="2"/>
        <v>f</v>
      </c>
      <c r="I6" s="77">
        <f>IF(B6="",1,0)</f>
        <v>1</v>
      </c>
      <c r="J6" s="77">
        <f>IF(OR(B6="Abgewählt",B6="Sprachfeststellungsprüfung"),1,0)</f>
        <v>0</v>
      </c>
      <c r="K6" s="95" t="s">
        <v>290</v>
      </c>
      <c r="N6" s="86"/>
      <c r="P6" s="77" t="s">
        <v>46</v>
      </c>
      <c r="Q6" s="77">
        <f t="shared" si="0"/>
        <v>0</v>
      </c>
      <c r="R6" s="77">
        <f t="shared" si="1"/>
        <v>0</v>
      </c>
    </row>
    <row r="7" spans="1:22" x14ac:dyDescent="0.25">
      <c r="A7" s="126" t="s">
        <v>275</v>
      </c>
      <c r="B7" s="127"/>
      <c r="C7" s="81"/>
      <c r="D7" s="82" t="str">
        <f t="shared" si="2"/>
        <v>f</v>
      </c>
      <c r="I7" s="77">
        <f>IF(B7="",1,0)</f>
        <v>1</v>
      </c>
      <c r="L7" s="83"/>
      <c r="N7" s="86"/>
      <c r="P7" s="77" t="s">
        <v>60</v>
      </c>
      <c r="Q7" s="77">
        <f t="shared" si="0"/>
        <v>0</v>
      </c>
      <c r="R7" s="77">
        <f t="shared" si="1"/>
        <v>0</v>
      </c>
    </row>
    <row r="8" spans="1:22" x14ac:dyDescent="0.25">
      <c r="A8" s="126" t="s">
        <v>92</v>
      </c>
      <c r="B8" s="127"/>
      <c r="C8" s="81"/>
      <c r="D8" s="82" t="str">
        <f t="shared" si="2"/>
        <v>f</v>
      </c>
      <c r="I8" s="77">
        <f>IF(B8="",1,0)</f>
        <v>1</v>
      </c>
      <c r="N8" s="86"/>
      <c r="P8" s="77" t="s">
        <v>47</v>
      </c>
      <c r="Q8" s="77">
        <f t="shared" ref="Q8:Q20" si="3">COUNTIF($O$40:$O$41,P8)</f>
        <v>0</v>
      </c>
      <c r="R8" s="77">
        <f t="shared" ref="R8:R20" si="4">COUNTIF($O$40,$P8)+COUNTIF($O$42,$P8)</f>
        <v>0</v>
      </c>
    </row>
    <row r="9" spans="1:22" x14ac:dyDescent="0.25">
      <c r="A9" s="128" t="s">
        <v>97</v>
      </c>
      <c r="B9" s="133"/>
      <c r="C9" s="81"/>
      <c r="D9" s="82" t="str">
        <f t="shared" si="2"/>
        <v/>
      </c>
      <c r="I9" s="77">
        <f>IF(OR(AND(B8="Johanneum",B9&lt;&gt;""),AND(B8="Andere Schule",B9="")),1,0)</f>
        <v>0</v>
      </c>
      <c r="J9" s="84" t="str">
        <f>IF(B9="","",B9)</f>
        <v/>
      </c>
      <c r="N9" s="86"/>
      <c r="P9" s="77" t="s">
        <v>48</v>
      </c>
      <c r="Q9" s="77">
        <f t="shared" si="3"/>
        <v>0</v>
      </c>
      <c r="R9" s="77">
        <f t="shared" si="4"/>
        <v>0</v>
      </c>
    </row>
    <row r="10" spans="1:22" x14ac:dyDescent="0.25">
      <c r="A10" s="126" t="s">
        <v>96</v>
      </c>
      <c r="B10" s="122"/>
      <c r="C10" s="81"/>
      <c r="D10" s="82" t="str">
        <f t="shared" si="2"/>
        <v/>
      </c>
      <c r="I10" s="77">
        <f>IF(AND(B8="Johanneum",B10=""),1,0)</f>
        <v>0</v>
      </c>
      <c r="J10" s="85" t="str">
        <f>TEXT(IF(B10="",99999,B10),"00000")</f>
        <v>99999</v>
      </c>
      <c r="N10" s="86"/>
      <c r="P10" s="77" t="s">
        <v>49</v>
      </c>
      <c r="Q10" s="77">
        <f t="shared" si="3"/>
        <v>0</v>
      </c>
      <c r="R10" s="77">
        <f t="shared" si="4"/>
        <v>0</v>
      </c>
    </row>
    <row r="11" spans="1:22" x14ac:dyDescent="0.25">
      <c r="A11" s="124" t="s">
        <v>149</v>
      </c>
      <c r="B11" s="81"/>
      <c r="J11" s="86"/>
      <c r="N11" s="86"/>
      <c r="P11" s="77" t="s">
        <v>50</v>
      </c>
      <c r="Q11" s="77">
        <f t="shared" si="3"/>
        <v>0</v>
      </c>
      <c r="R11" s="77">
        <f t="shared" si="4"/>
        <v>0</v>
      </c>
    </row>
    <row r="12" spans="1:22" x14ac:dyDescent="0.25">
      <c r="A12" s="135" t="str">
        <f ca="1">K104</f>
        <v>99999xx#ERGPoGe#WAHL#VN#NN#SF000#ERZ#SP00000000#ALTxxxxxxxxxxxxxx#DAT44970,34430</v>
      </c>
      <c r="H12" s="87"/>
      <c r="J12" s="88"/>
      <c r="K12" s="86"/>
      <c r="N12" s="86"/>
      <c r="P12" s="77" t="s">
        <v>51</v>
      </c>
      <c r="Q12" s="77">
        <f t="shared" si="3"/>
        <v>0</v>
      </c>
      <c r="R12" s="77">
        <f t="shared" si="4"/>
        <v>0</v>
      </c>
    </row>
    <row r="13" spans="1:22" ht="18.75" x14ac:dyDescent="0.3">
      <c r="A13" s="78" t="s">
        <v>62</v>
      </c>
      <c r="B13" s="79"/>
      <c r="C13" s="80" t="str">
        <f>IF(SUM(I15:I17)=0,"okay","")</f>
        <v/>
      </c>
      <c r="D13" s="1" t="s">
        <v>184</v>
      </c>
      <c r="J13" s="75" t="s">
        <v>281</v>
      </c>
      <c r="K13" s="75" t="s">
        <v>185</v>
      </c>
      <c r="L13" s="75" t="s">
        <v>282</v>
      </c>
      <c r="N13" s="86"/>
      <c r="P13" s="77" t="s">
        <v>52</v>
      </c>
      <c r="Q13" s="77">
        <f t="shared" si="3"/>
        <v>0</v>
      </c>
      <c r="R13" s="77">
        <f t="shared" si="4"/>
        <v>0</v>
      </c>
    </row>
    <row r="14" spans="1:22" hidden="1" x14ac:dyDescent="0.25">
      <c r="B14" s="75"/>
      <c r="C14" s="75"/>
      <c r="N14" s="86"/>
      <c r="P14" s="77" t="s">
        <v>53</v>
      </c>
      <c r="Q14" s="77">
        <f t="shared" si="3"/>
        <v>0</v>
      </c>
      <c r="R14" s="77">
        <f t="shared" si="4"/>
        <v>0</v>
      </c>
    </row>
    <row r="15" spans="1:22" x14ac:dyDescent="0.25">
      <c r="A15" s="101" t="s">
        <v>283</v>
      </c>
      <c r="B15" s="134"/>
      <c r="C15" s="90"/>
      <c r="D15" s="82" t="str">
        <f t="shared" ref="D15:D17" si="5">IF(I15=1,"f","")</f>
        <v>f</v>
      </c>
      <c r="F15" s="91" t="s">
        <v>19</v>
      </c>
      <c r="I15" s="77">
        <f>IF(B15="",1,IF(K15&gt;=2,1,0))</f>
        <v>1</v>
      </c>
      <c r="J15" s="77">
        <f>IF(B15="",0,LEFT(B15,FIND(":",B15)-1))</f>
        <v>0</v>
      </c>
      <c r="K15" s="77">
        <f>COUNTIF($J$15:$J$17,J15)</f>
        <v>3</v>
      </c>
      <c r="L15" s="77">
        <f>IF(J15=0,0,DEC2HEX(J15))</f>
        <v>0</v>
      </c>
      <c r="N15" s="86"/>
      <c r="P15" s="77" t="s">
        <v>54</v>
      </c>
      <c r="Q15" s="77">
        <f t="shared" si="3"/>
        <v>0</v>
      </c>
      <c r="R15" s="77">
        <f t="shared" si="4"/>
        <v>0</v>
      </c>
    </row>
    <row r="16" spans="1:22" x14ac:dyDescent="0.25">
      <c r="A16" s="101" t="s">
        <v>284</v>
      </c>
      <c r="B16" s="134"/>
      <c r="C16" s="90"/>
      <c r="D16" s="82" t="str">
        <f t="shared" si="5"/>
        <v>f</v>
      </c>
      <c r="F16" s="91" t="s">
        <v>19</v>
      </c>
      <c r="I16" s="77">
        <f>IF(B16="",1,IF(K16&gt;=2,1,0))</f>
        <v>1</v>
      </c>
      <c r="J16" s="77">
        <f>IF(B16="",0,LEFT(B16,FIND(":",B16)-1))</f>
        <v>0</v>
      </c>
      <c r="K16" s="77">
        <f>COUNTIF($J$15:$J$17,J16)</f>
        <v>3</v>
      </c>
      <c r="L16" s="77">
        <f>IF(J16=0,0,DEC2HEX(J16))</f>
        <v>0</v>
      </c>
      <c r="N16" s="86"/>
      <c r="P16" s="77" t="s">
        <v>55</v>
      </c>
      <c r="Q16" s="77">
        <f t="shared" si="3"/>
        <v>0</v>
      </c>
      <c r="R16" s="77">
        <f t="shared" si="4"/>
        <v>0</v>
      </c>
    </row>
    <row r="17" spans="1:28" x14ac:dyDescent="0.25">
      <c r="A17" s="101" t="s">
        <v>285</v>
      </c>
      <c r="B17" s="134"/>
      <c r="C17" s="90"/>
      <c r="D17" s="82" t="str">
        <f t="shared" si="5"/>
        <v>f</v>
      </c>
      <c r="F17" s="91" t="s">
        <v>19</v>
      </c>
      <c r="I17" s="77">
        <f>IF(B17="",1,IF(K17&gt;=2,1,0))</f>
        <v>1</v>
      </c>
      <c r="J17" s="77">
        <f>IF(B17="",0,LEFT(B17,FIND(":",B17)-1))</f>
        <v>0</v>
      </c>
      <c r="K17" s="77">
        <f>COUNTIF($J$15:$J$17,J17)</f>
        <v>3</v>
      </c>
      <c r="L17" s="77">
        <f>IF(J17=0,0,DEC2HEX(J17))</f>
        <v>0</v>
      </c>
      <c r="N17" s="86"/>
      <c r="P17" s="77" t="s">
        <v>56</v>
      </c>
      <c r="Q17" s="77">
        <f t="shared" si="3"/>
        <v>0</v>
      </c>
      <c r="R17" s="77">
        <f t="shared" si="4"/>
        <v>0</v>
      </c>
    </row>
    <row r="18" spans="1:28" x14ac:dyDescent="0.25">
      <c r="C18" s="90"/>
      <c r="F18" s="91"/>
      <c r="I18" s="88"/>
      <c r="J18" s="88"/>
      <c r="K18" s="88"/>
      <c r="N18" s="86"/>
      <c r="P18" s="77" t="s">
        <v>57</v>
      </c>
      <c r="Q18" s="77">
        <f t="shared" si="3"/>
        <v>0</v>
      </c>
      <c r="R18" s="77">
        <f t="shared" si="4"/>
        <v>0</v>
      </c>
    </row>
    <row r="19" spans="1:28" x14ac:dyDescent="0.25">
      <c r="D19" s="1" t="s">
        <v>184</v>
      </c>
      <c r="J19" s="88"/>
      <c r="K19" s="86"/>
      <c r="N19" s="86"/>
      <c r="P19" s="77" t="s">
        <v>58</v>
      </c>
      <c r="Q19" s="77">
        <f t="shared" si="3"/>
        <v>0</v>
      </c>
      <c r="R19" s="77">
        <f t="shared" si="4"/>
        <v>0</v>
      </c>
    </row>
    <row r="20" spans="1:28" ht="18.75" x14ac:dyDescent="0.3">
      <c r="A20" s="78" t="s">
        <v>91</v>
      </c>
      <c r="B20" s="79"/>
      <c r="C20" s="80" t="str">
        <f>IF(SUM(I24:I33)=0,"okay","")</f>
        <v/>
      </c>
      <c r="D20" s="92" t="s">
        <v>184</v>
      </c>
      <c r="G20" s="132"/>
      <c r="J20" s="88"/>
      <c r="K20" s="88"/>
      <c r="L20" s="88"/>
      <c r="M20" s="88"/>
      <c r="N20" s="86"/>
      <c r="P20" s="77" t="s">
        <v>59</v>
      </c>
      <c r="Q20" s="77">
        <f t="shared" si="3"/>
        <v>0</v>
      </c>
      <c r="R20" s="77">
        <f t="shared" si="4"/>
        <v>0</v>
      </c>
      <c r="S20" s="88"/>
      <c r="T20" s="88"/>
      <c r="U20" s="88"/>
      <c r="V20" s="88"/>
      <c r="W20" s="88"/>
      <c r="X20" s="88"/>
      <c r="Y20" s="88"/>
      <c r="Z20" s="88"/>
      <c r="AA20" s="88"/>
      <c r="AB20" s="88"/>
    </row>
    <row r="21" spans="1:28" x14ac:dyDescent="0.25">
      <c r="A21" s="101" t="s">
        <v>162</v>
      </c>
      <c r="B21" s="122"/>
      <c r="C21" s="82"/>
      <c r="D21" s="82" t="s">
        <v>184</v>
      </c>
      <c r="J21" s="88"/>
      <c r="K21" s="88"/>
      <c r="L21" s="88"/>
      <c r="M21" s="88"/>
      <c r="N21" s="86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</row>
    <row r="22" spans="1:28" x14ac:dyDescent="0.25">
      <c r="B22" s="82"/>
      <c r="C22" s="82"/>
      <c r="D22" s="82" t="s">
        <v>184</v>
      </c>
      <c r="J22" s="88"/>
      <c r="K22" s="88"/>
      <c r="L22" s="88"/>
      <c r="M22" s="88"/>
      <c r="N22" s="86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8" x14ac:dyDescent="0.25">
      <c r="A23" s="93" t="s">
        <v>287</v>
      </c>
      <c r="B23" s="89"/>
      <c r="C23" s="75"/>
      <c r="D23" s="93" t="s">
        <v>184</v>
      </c>
      <c r="J23" s="75" t="s">
        <v>151</v>
      </c>
      <c r="K23" s="75" t="s">
        <v>152</v>
      </c>
      <c r="L23" s="88" t="s">
        <v>185</v>
      </c>
      <c r="Q23" s="94"/>
      <c r="R23" s="94"/>
      <c r="S23" s="94"/>
      <c r="T23" s="94"/>
      <c r="U23" s="94"/>
      <c r="V23" s="94"/>
      <c r="W23" s="94"/>
      <c r="X23" s="94"/>
    </row>
    <row r="24" spans="1:28" x14ac:dyDescent="0.25">
      <c r="A24" s="101" t="s">
        <v>283</v>
      </c>
      <c r="B24" s="125"/>
      <c r="C24" s="101" t="str">
        <f>IF(IFERROR(VLOOKUP(B24,F!$F$42:$G$65,2,0),"")=0,"",IFERROR(VLOOKUP(B24,F!$F$42:$G$65,2,0),""))</f>
        <v/>
      </c>
      <c r="D24" s="82" t="str">
        <f t="shared" ref="D24:D27" si="6">IF(I24=1,"f","")</f>
        <v>f</v>
      </c>
      <c r="I24" s="77">
        <f>IF(B24="",1,IF(L24&gt;=2,1,0))</f>
        <v>1</v>
      </c>
      <c r="J24" s="77">
        <f>IF(K24=0,0,DEC2HEX(K24))</f>
        <v>0</v>
      </c>
      <c r="K24" s="77">
        <f>IF(B24="",0,MID(B24,2,FIND(":",B24)-2))</f>
        <v>0</v>
      </c>
      <c r="L24" s="77">
        <f>COUNTIF($J$24:$J$27,J24)</f>
        <v>4</v>
      </c>
      <c r="M24" s="88"/>
      <c r="N24" s="88"/>
      <c r="O24" s="88"/>
      <c r="P24" s="88"/>
      <c r="Q24" s="94"/>
      <c r="R24" s="94"/>
      <c r="S24" s="94"/>
      <c r="T24" s="94"/>
      <c r="U24" s="94"/>
      <c r="V24" s="94"/>
      <c r="W24" s="94"/>
      <c r="X24" s="94"/>
    </row>
    <row r="25" spans="1:28" x14ac:dyDescent="0.25">
      <c r="A25" s="101" t="s">
        <v>284</v>
      </c>
      <c r="B25" s="125"/>
      <c r="C25" s="101" t="str">
        <f>IF(IFERROR(VLOOKUP(B25,F!$F$42:$G$65,2,0),"")=0,"",IFERROR(VLOOKUP(B25,F!$F$42:$G$65,2,0),""))</f>
        <v/>
      </c>
      <c r="D25" s="82" t="str">
        <f t="shared" si="6"/>
        <v>f</v>
      </c>
      <c r="I25" s="77">
        <f>IF(B25="",1,IF(L25&gt;=2,1,0))</f>
        <v>1</v>
      </c>
      <c r="J25" s="77">
        <f t="shared" ref="J25:J27" si="7">IF(K25=0,0,DEC2HEX(K25))</f>
        <v>0</v>
      </c>
      <c r="K25" s="77">
        <f t="shared" ref="K25:K27" si="8">IF(B25="",0,MID(B25,2,FIND(":",B25)-2))</f>
        <v>0</v>
      </c>
      <c r="L25" s="77">
        <f>COUNTIF($J$24:$J$27,J25)</f>
        <v>4</v>
      </c>
      <c r="M25" s="88"/>
      <c r="N25" s="88"/>
      <c r="O25" s="88"/>
      <c r="P25" s="88"/>
      <c r="Q25" s="94"/>
      <c r="R25" s="94"/>
      <c r="S25" s="94"/>
      <c r="T25" s="94"/>
      <c r="U25" s="94"/>
      <c r="V25" s="94"/>
      <c r="W25" s="94"/>
      <c r="X25" s="94"/>
    </row>
    <row r="26" spans="1:28" x14ac:dyDescent="0.25">
      <c r="A26" s="101" t="s">
        <v>285</v>
      </c>
      <c r="B26" s="125"/>
      <c r="C26" s="101" t="str">
        <f>IF(IFERROR(VLOOKUP(B26,F!$F$42:$G$65,2,0),"")=0,"",IFERROR(VLOOKUP(B26,F!$F$42:$G$65,2,0),""))</f>
        <v/>
      </c>
      <c r="D26" s="82" t="str">
        <f t="shared" si="6"/>
        <v>f</v>
      </c>
      <c r="I26" s="77">
        <f>IF(B26="",1,IF(L26&gt;=2,1,0))</f>
        <v>1</v>
      </c>
      <c r="J26" s="77">
        <f t="shared" si="7"/>
        <v>0</v>
      </c>
      <c r="K26" s="77">
        <f t="shared" si="8"/>
        <v>0</v>
      </c>
      <c r="L26" s="77">
        <f>COUNTIF($J$24:$J$27,J26)</f>
        <v>4</v>
      </c>
      <c r="M26" s="88"/>
      <c r="N26" s="88"/>
      <c r="O26" s="88"/>
      <c r="P26" s="88"/>
      <c r="Q26" s="94"/>
      <c r="R26" s="94"/>
      <c r="S26" s="94"/>
      <c r="T26" s="94"/>
      <c r="U26" s="94"/>
      <c r="V26" s="94"/>
      <c r="W26" s="94"/>
      <c r="X26" s="94"/>
    </row>
    <row r="27" spans="1:28" x14ac:dyDescent="0.25">
      <c r="A27" s="101" t="s">
        <v>286</v>
      </c>
      <c r="B27" s="125"/>
      <c r="C27" s="101" t="str">
        <f>IF(IFERROR(VLOOKUP(B27,F!$F$42:$G$65,2,0),"")=0,"",IFERROR(VLOOKUP(B27,F!$F$42:$G$65,2,0),""))</f>
        <v/>
      </c>
      <c r="D27" s="82" t="str">
        <f t="shared" si="6"/>
        <v>f</v>
      </c>
      <c r="I27" s="77">
        <f>IF(B27="",1,IF(L27&gt;=2,1,0))</f>
        <v>1</v>
      </c>
      <c r="J27" s="77">
        <f t="shared" si="7"/>
        <v>0</v>
      </c>
      <c r="K27" s="77">
        <f t="shared" si="8"/>
        <v>0</v>
      </c>
      <c r="L27" s="77">
        <f>COUNTIF($J$24:$J$27,J27)</f>
        <v>4</v>
      </c>
      <c r="M27" s="88"/>
      <c r="N27" s="88"/>
      <c r="O27" s="88"/>
      <c r="P27" s="88"/>
      <c r="Q27" s="94"/>
      <c r="R27" s="94"/>
      <c r="S27" s="94"/>
      <c r="T27" s="94"/>
      <c r="U27" s="94"/>
      <c r="V27" s="94"/>
      <c r="W27" s="94"/>
      <c r="X27" s="94"/>
    </row>
    <row r="28" spans="1:28" ht="15" customHeight="1" x14ac:dyDescent="0.25">
      <c r="B28" s="123"/>
      <c r="C28" s="81"/>
      <c r="D28" s="82" t="s">
        <v>184</v>
      </c>
      <c r="H28" s="87"/>
      <c r="J28" s="88"/>
      <c r="K28" s="86"/>
      <c r="L28" s="87"/>
      <c r="M28" s="88"/>
      <c r="N28" s="88"/>
      <c r="P28" s="95"/>
      <c r="S28" s="88"/>
    </row>
    <row r="29" spans="1:28" x14ac:dyDescent="0.25">
      <c r="A29" s="93" t="s">
        <v>288</v>
      </c>
      <c r="B29" s="89"/>
      <c r="D29" s="93" t="s">
        <v>184</v>
      </c>
      <c r="J29" s="75" t="s">
        <v>153</v>
      </c>
      <c r="K29" s="75" t="s">
        <v>154</v>
      </c>
      <c r="L29" s="88" t="s">
        <v>185</v>
      </c>
    </row>
    <row r="30" spans="1:28" ht="17.25" customHeight="1" x14ac:dyDescent="0.25">
      <c r="A30" s="101" t="s">
        <v>283</v>
      </c>
      <c r="B30" s="125"/>
      <c r="C30" s="101" t="str">
        <f>IF(IFERROR(VLOOKUP(B30,F!$F$42:$G$65,2,0),"")=0,"",IFERROR(VLOOKUP(B30,F!$F$42:$G$65,2,0),""))</f>
        <v/>
      </c>
      <c r="D30" s="82" t="str">
        <f t="shared" ref="D30:D33" si="9">IF(I30=1,"f","")</f>
        <v>f</v>
      </c>
      <c r="I30" s="77">
        <f>IF(B30="",1,IF(L30&gt;=2,1,0))</f>
        <v>1</v>
      </c>
      <c r="J30" s="77">
        <f>IF(K30=0,0,DEC2HEX(K30))</f>
        <v>0</v>
      </c>
      <c r="K30" s="77">
        <f>IF(B30="",0,MID(B30,2,FIND(":",B30)-2))</f>
        <v>0</v>
      </c>
      <c r="L30" s="77">
        <f>COUNTIF($J$30:$J$33,J30)</f>
        <v>4</v>
      </c>
    </row>
    <row r="31" spans="1:28" x14ac:dyDescent="0.25">
      <c r="A31" s="101" t="s">
        <v>284</v>
      </c>
      <c r="B31" s="125"/>
      <c r="C31" s="101" t="str">
        <f>IF(IFERROR(VLOOKUP(B31,F!$F$42:$G$65,2,0),"")=0,"",IFERROR(VLOOKUP(B31,F!$F$42:$G$65,2,0),""))</f>
        <v/>
      </c>
      <c r="D31" s="82" t="str">
        <f t="shared" si="9"/>
        <v>f</v>
      </c>
      <c r="I31" s="77">
        <f>IF(B31="",1,IF(L31&gt;=2,1,0))</f>
        <v>1</v>
      </c>
      <c r="J31" s="77">
        <f t="shared" ref="J31:J33" si="10">IF(K31=0,0,DEC2HEX(K31))</f>
        <v>0</v>
      </c>
      <c r="K31" s="77">
        <f t="shared" ref="K31:K33" si="11">IF(B31="",0,MID(B31,2,FIND(":",B31)-2))</f>
        <v>0</v>
      </c>
      <c r="L31" s="77">
        <f>COUNTIF($J$30:$J$33,J31)</f>
        <v>4</v>
      </c>
    </row>
    <row r="32" spans="1:28" x14ac:dyDescent="0.25">
      <c r="A32" s="101" t="s">
        <v>285</v>
      </c>
      <c r="B32" s="125"/>
      <c r="C32" s="101" t="str">
        <f>IF(IFERROR(VLOOKUP(B32,F!$F$42:$G$65,2,0),"")=0,"",IFERROR(VLOOKUP(B32,F!$F$42:$G$65,2,0),""))</f>
        <v/>
      </c>
      <c r="D32" s="82" t="str">
        <f t="shared" si="9"/>
        <v>f</v>
      </c>
      <c r="I32" s="77">
        <f>IF(B32="",1,IF(L32&gt;=2,1,0))</f>
        <v>1</v>
      </c>
      <c r="J32" s="77">
        <f t="shared" si="10"/>
        <v>0</v>
      </c>
      <c r="K32" s="77">
        <f t="shared" si="11"/>
        <v>0</v>
      </c>
      <c r="L32" s="77">
        <f>COUNTIF($J$30:$J$33,J32)</f>
        <v>4</v>
      </c>
    </row>
    <row r="33" spans="1:28" ht="17.25" customHeight="1" x14ac:dyDescent="0.35">
      <c r="A33" s="101" t="s">
        <v>286</v>
      </c>
      <c r="B33" s="125"/>
      <c r="C33" s="101" t="str">
        <f>IF(IFERROR(VLOOKUP(B33,F!$F$42:$G$65,2,0),"")=0,"",IFERROR(VLOOKUP(B33,F!$F$42:$G$65,2,0),""))</f>
        <v/>
      </c>
      <c r="D33" s="82" t="str">
        <f t="shared" si="9"/>
        <v>f</v>
      </c>
      <c r="E33" s="96"/>
      <c r="I33" s="77">
        <f>IF(B33="",1,IF(L33&gt;=2,1,0))</f>
        <v>1</v>
      </c>
      <c r="J33" s="77">
        <f t="shared" si="10"/>
        <v>0</v>
      </c>
      <c r="K33" s="77">
        <f t="shared" si="11"/>
        <v>0</v>
      </c>
      <c r="L33" s="77">
        <f>COUNTIF($J$30:$J$33,J33)</f>
        <v>4</v>
      </c>
      <c r="M33" s="88"/>
    </row>
    <row r="34" spans="1:28" x14ac:dyDescent="0.25">
      <c r="B34" s="123"/>
      <c r="C34" s="123"/>
      <c r="D34" s="82" t="s">
        <v>184</v>
      </c>
      <c r="J34" s="88"/>
      <c r="K34" s="86"/>
    </row>
    <row r="35" spans="1:28" x14ac:dyDescent="0.25">
      <c r="B35" s="123"/>
      <c r="C35" s="123"/>
      <c r="D35" s="82" t="s">
        <v>184</v>
      </c>
      <c r="H35" s="97"/>
      <c r="O35" s="97"/>
    </row>
    <row r="36" spans="1:28" ht="18.75" x14ac:dyDescent="0.3">
      <c r="A36" s="78" t="s">
        <v>173</v>
      </c>
      <c r="B36" s="79"/>
      <c r="C36" s="80" t="str">
        <f>IF(SUM(I37:I51)=0,"okay","")</f>
        <v/>
      </c>
      <c r="D36" s="82" t="s">
        <v>184</v>
      </c>
    </row>
    <row r="37" spans="1:28" x14ac:dyDescent="0.25">
      <c r="A37" s="101" t="s">
        <v>159</v>
      </c>
      <c r="B37" s="122"/>
      <c r="D37" s="82" t="str">
        <f t="shared" ref="D37" si="12">IF(I37=1,"f","")</f>
        <v>f</v>
      </c>
      <c r="I37" s="77">
        <f>IF(OR(B6="",M37&lt;&gt;"",B37=""),1,0)</f>
        <v>1</v>
      </c>
      <c r="J37" s="77" t="e">
        <f>HLOOKUP($K$37,F!$Z$3:$AD$5,2,0)</f>
        <v>#N/A</v>
      </c>
      <c r="K37" s="77" t="str">
        <f>IF(B37="","",VLOOKUP(B37,F!$M$33:$N$36,2,0))</f>
        <v/>
      </c>
      <c r="M37" s="76" t="str">
        <f>IF(AND(J6=1,OR(B37=F!$M$33,B37=F!$M$35)),"Schwerpunkt nicht möglich","")</f>
        <v/>
      </c>
      <c r="N37" s="75" t="s">
        <v>238</v>
      </c>
    </row>
    <row r="38" spans="1:28" x14ac:dyDescent="0.25">
      <c r="I38" s="88"/>
      <c r="J38" s="88"/>
      <c r="K38" s="88"/>
    </row>
    <row r="39" spans="1:28" x14ac:dyDescent="0.25">
      <c r="A39" s="98"/>
      <c r="B39" s="99" t="s">
        <v>0</v>
      </c>
      <c r="C39" s="99" t="s">
        <v>1</v>
      </c>
      <c r="D39" s="100" t="s">
        <v>184</v>
      </c>
      <c r="M39" s="75" t="s">
        <v>186</v>
      </c>
      <c r="N39" s="75" t="s">
        <v>193</v>
      </c>
      <c r="O39" s="86" t="s">
        <v>0</v>
      </c>
      <c r="P39" s="86" t="s">
        <v>1</v>
      </c>
      <c r="Q39" s="88" t="s">
        <v>167</v>
      </c>
      <c r="R39" s="88" t="s">
        <v>168</v>
      </c>
      <c r="S39" s="88" t="s">
        <v>169</v>
      </c>
      <c r="T39" s="88" t="s">
        <v>200</v>
      </c>
      <c r="U39" s="88" t="s">
        <v>170</v>
      </c>
      <c r="V39" s="88" t="s">
        <v>170</v>
      </c>
      <c r="W39" s="88" t="s">
        <v>171</v>
      </c>
      <c r="X39" s="88" t="s">
        <v>171</v>
      </c>
      <c r="Y39" s="88" t="s">
        <v>172</v>
      </c>
      <c r="Z39" s="88" t="s">
        <v>172</v>
      </c>
      <c r="AA39" s="88" t="s">
        <v>175</v>
      </c>
      <c r="AB39" s="88" t="s">
        <v>205</v>
      </c>
    </row>
    <row r="40" spans="1:28" x14ac:dyDescent="0.25">
      <c r="A40" s="101" t="s">
        <v>177</v>
      </c>
      <c r="B40" s="122"/>
      <c r="C40" s="122"/>
      <c r="D40" s="82" t="str">
        <f>IF(I40=1,"f","")</f>
        <v>f</v>
      </c>
      <c r="I40" s="77">
        <f>IF(B40="",1,IF(N40&gt;=2,1,0))</f>
        <v>1</v>
      </c>
      <c r="J40" s="77" t="s">
        <v>113</v>
      </c>
      <c r="K40" s="77" t="e">
        <f>VLOOKUP($J40,F!$Z$3:$AD$227,$K$37+1,0)</f>
        <v>#VALUE!</v>
      </c>
      <c r="L40" s="77" t="e">
        <f>VLOOKUP($J40,F!$AE$3:$AI$227,$K$37+1,0)</f>
        <v>#VALUE!</v>
      </c>
      <c r="M40" s="77">
        <f>IF(O40="",0,COUNTIF($O$40:$O$58,O40))</f>
        <v>0</v>
      </c>
      <c r="N40" s="77">
        <f>IF(O40="",0,COUNTIF($O$40:$O$44,O40))</f>
        <v>0</v>
      </c>
      <c r="O40" s="85" t="str">
        <f>IF(B40="","",VLOOKUP(B40,F!$A$2:$C$22,3,0))</f>
        <v/>
      </c>
      <c r="P40" s="102" t="str">
        <f>IF(C40="","xx",VLOOKUP(C40,F!$A$2:$C$22,3,0))</f>
        <v>xx</v>
      </c>
      <c r="Q40" s="77">
        <f>IF($O40="De",1,0)</f>
        <v>0</v>
      </c>
      <c r="R40" s="77">
        <f>IF($O40="Ma",1,0)</f>
        <v>0</v>
      </c>
      <c r="S40" s="77">
        <f>IF(OR($O40="En",$O40="Fr",$O40="Sn",$O40="La"),1,0)</f>
        <v>0</v>
      </c>
      <c r="T40" s="77" t="str">
        <f>IF(S40=1,O40&amp;", ","")</f>
        <v/>
      </c>
      <c r="U40" s="77">
        <f>IF(OR($O40="Ku",$O40="Mu",$O40="Sn",$O40="De",$O40="En",$O40="Fr",$O40="La"),1,0)</f>
        <v>0</v>
      </c>
      <c r="V40" s="77" t="str">
        <f>IF(U40=1,$O40&amp;", ","")</f>
        <v/>
      </c>
      <c r="W40" s="77">
        <f>IF(OR($O40="Ge",$O40="Ek",$O40="Po",$O40="Re",$O40="Wn"),1,0)</f>
        <v>0</v>
      </c>
      <c r="X40" s="77" t="str">
        <f>IF(W40=1,$O40&amp;", ","")</f>
        <v/>
      </c>
      <c r="Y40" s="77">
        <f>IF(OR($O40="Ma",$O40="Bi",$O40="Ch",$O40="Ph",$O40="If"),1,0)</f>
        <v>0</v>
      </c>
      <c r="Z40" s="77" t="str">
        <f>IF(Y40=1,$O40&amp;", ","")</f>
        <v/>
      </c>
      <c r="AA40" s="77">
        <f>IF(OR($O40="Bi",$O40="Ch",$O40="Ph",AND($O40="If",$K$37=4)),1,0)</f>
        <v>0</v>
      </c>
      <c r="AB40" s="77" t="str">
        <f>IF(AA40=1,$O40&amp;", ","")</f>
        <v/>
      </c>
    </row>
    <row r="41" spans="1:28" x14ac:dyDescent="0.25">
      <c r="A41" s="101" t="s">
        <v>181</v>
      </c>
      <c r="B41" s="122"/>
      <c r="C41" s="122"/>
      <c r="D41" s="82" t="str">
        <f t="shared" ref="D41:D44" si="13">IF(I41=1,"f","")</f>
        <v>f</v>
      </c>
      <c r="I41" s="77">
        <f>IF(B41="",1,IF(N41&gt;=2,1,0))</f>
        <v>1</v>
      </c>
      <c r="J41" s="77" t="s">
        <v>114</v>
      </c>
      <c r="K41" s="77" t="e">
        <f>VLOOKUP($J41,F!$Z$3:$AD$227,$K$37+1,0)</f>
        <v>#VALUE!</v>
      </c>
      <c r="L41" s="77" t="e">
        <f>VLOOKUP($J41,F!$AE$3:$AI$227,$K$37+1,0)</f>
        <v>#VALUE!</v>
      </c>
      <c r="M41" s="77">
        <f>IF(O41="",0,COUNTIF($O$40:$O$58,O41))</f>
        <v>0</v>
      </c>
      <c r="N41" s="77">
        <f>IF(O41="",0,COUNTIF($O$40:$O$44,O41))</f>
        <v>0</v>
      </c>
      <c r="O41" s="85" t="str">
        <f>IF(B41="","",VLOOKUP(B41,F!$A$2:$C$22,3,0))</f>
        <v/>
      </c>
      <c r="P41" s="102" t="str">
        <f>IF(C41="","xx",VLOOKUP(C41,F!$A$2:$C$22,3,0))</f>
        <v>xx</v>
      </c>
      <c r="Q41" s="77">
        <f>IF($O41="De",1,0)</f>
        <v>0</v>
      </c>
      <c r="R41" s="77">
        <f>IF($O41="Ma",1,0)</f>
        <v>0</v>
      </c>
      <c r="S41" s="77">
        <f t="shared" ref="S41:S44" si="14">IF(OR($O41="En",$O41="Fr",$O41="Sn",$O41="La"),1,0)</f>
        <v>0</v>
      </c>
      <c r="T41" s="77" t="str">
        <f>IF(S41=1,O41&amp;", ","")</f>
        <v/>
      </c>
      <c r="U41" s="77">
        <f t="shared" ref="U41:U44" si="15">IF(OR($O41="Ku",$O41="Mu",$O41="Sn",$O41="De",$O41="En",$O41="Fr",$O41="La"),1,0)</f>
        <v>0</v>
      </c>
      <c r="V41" s="77" t="str">
        <f t="shared" ref="V41:X44" si="16">IF(U41=1,$O41&amp;", ","")</f>
        <v/>
      </c>
      <c r="W41" s="77">
        <f t="shared" ref="W41:W44" si="17">IF(OR($O41="Ge",$O41="Ek",$O41="Po",$O41="Re",$O41="Wn"),1,0)</f>
        <v>0</v>
      </c>
      <c r="X41" s="77" t="str">
        <f t="shared" si="16"/>
        <v/>
      </c>
      <c r="Y41" s="77">
        <f>IF(OR($O41="Ma",$O41="Bi",$O41="Ch",$O41="Ph",$O41="If"),1,0)</f>
        <v>0</v>
      </c>
      <c r="Z41" s="77" t="str">
        <f t="shared" ref="Z41:AB41" si="18">IF(Y41=1,$O41&amp;", ","")</f>
        <v/>
      </c>
      <c r="AA41" s="77">
        <f>IF(OR($O41="Bi",$O41="Ch",$O41="Ph",AND($O41="If",$K$37=4)),1,0)</f>
        <v>0</v>
      </c>
      <c r="AB41" s="77" t="str">
        <f t="shared" si="18"/>
        <v/>
      </c>
    </row>
    <row r="42" spans="1:28" x14ac:dyDescent="0.25">
      <c r="A42" s="101" t="s">
        <v>178</v>
      </c>
      <c r="B42" s="122"/>
      <c r="C42" s="122"/>
      <c r="D42" s="82" t="str">
        <f t="shared" si="13"/>
        <v>f</v>
      </c>
      <c r="I42" s="77">
        <f>IF(B42="",1,IF(N42&gt;=2,1,0))</f>
        <v>1</v>
      </c>
      <c r="J42" s="77" t="s">
        <v>115</v>
      </c>
      <c r="K42" s="77" t="e">
        <f>VLOOKUP($J42,F!$Z$3:$AD$227,$K$37+1,0)</f>
        <v>#VALUE!</v>
      </c>
      <c r="L42" s="77" t="e">
        <f>VLOOKUP($J42,F!$AE$3:$AI$227,$K$37+1,0)</f>
        <v>#VALUE!</v>
      </c>
      <c r="M42" s="77">
        <f>IF(O42="",0,COUNTIF($O$40:$O$58,O42))</f>
        <v>0</v>
      </c>
      <c r="N42" s="77">
        <f>IF(O42="",0,COUNTIF($O$40:$O$44,O42))</f>
        <v>0</v>
      </c>
      <c r="O42" s="85" t="str">
        <f>IF(B42="","",VLOOKUP(B42,F!$A$2:$C$22,3,0))</f>
        <v/>
      </c>
      <c r="P42" s="102" t="str">
        <f>IF(C42="","xx",VLOOKUP(C42,F!$A$2:$C$22,3,0))</f>
        <v>xx</v>
      </c>
      <c r="Q42" s="77">
        <f>IF($O42="De",1,0)</f>
        <v>0</v>
      </c>
      <c r="R42" s="77">
        <f>IF($O42="Ma",1,0)</f>
        <v>0</v>
      </c>
      <c r="S42" s="77">
        <f t="shared" si="14"/>
        <v>0</v>
      </c>
      <c r="T42" s="77" t="str">
        <f>IF(S42=1,O42&amp;", ","")</f>
        <v/>
      </c>
      <c r="U42" s="77">
        <f t="shared" si="15"/>
        <v>0</v>
      </c>
      <c r="V42" s="77" t="str">
        <f t="shared" si="16"/>
        <v/>
      </c>
      <c r="W42" s="77">
        <f t="shared" si="17"/>
        <v>0</v>
      </c>
      <c r="X42" s="77" t="str">
        <f t="shared" si="16"/>
        <v/>
      </c>
      <c r="Y42" s="77">
        <f>IF(OR($O42="Ma",$O42="Bi",$O42="Ch",$O42="Ph",$O42="If"),1,0)</f>
        <v>0</v>
      </c>
      <c r="Z42" s="77" t="str">
        <f t="shared" ref="Z42:AB42" si="19">IF(Y42=1,$O42&amp;", ","")</f>
        <v/>
      </c>
      <c r="AA42" s="77">
        <f>IF(OR($O42="Bi",$O42="Ch",$O42="Ph",AND($O42="If",$K$37=4)),1,0)</f>
        <v>0</v>
      </c>
      <c r="AB42" s="77" t="str">
        <f t="shared" si="19"/>
        <v/>
      </c>
    </row>
    <row r="43" spans="1:28" x14ac:dyDescent="0.25">
      <c r="A43" s="101" t="s">
        <v>179</v>
      </c>
      <c r="B43" s="122"/>
      <c r="C43" s="122"/>
      <c r="D43" s="82" t="str">
        <f t="shared" si="13"/>
        <v>f</v>
      </c>
      <c r="I43" s="77">
        <f>IF(B43="",1,IF(N43&gt;=2,1,0))</f>
        <v>1</v>
      </c>
      <c r="J43" s="77" t="s">
        <v>116</v>
      </c>
      <c r="K43" s="77" t="e">
        <f>VLOOKUP($J43,F!$Z$3:$AD$227,$K$37+1,0)</f>
        <v>#VALUE!</v>
      </c>
      <c r="L43" s="77" t="e">
        <f>VLOOKUP($J43,F!$AE$3:$AI$227,$K$37+1,0)</f>
        <v>#VALUE!</v>
      </c>
      <c r="M43" s="77">
        <f>IF(O43="",0,COUNTIF($O$40:$O$58,O43))</f>
        <v>0</v>
      </c>
      <c r="N43" s="77">
        <f>IF(O43="",0,COUNTIF($O$40:$O$44,O43))</f>
        <v>0</v>
      </c>
      <c r="O43" s="85" t="str">
        <f>IF(B43="","",VLOOKUP(B43,F!$A$2:$C$22,3,0))</f>
        <v/>
      </c>
      <c r="P43" s="102" t="str">
        <f>IF(C43="","xx",VLOOKUP(C43,F!$A$2:$C$22,3,0))</f>
        <v>xx</v>
      </c>
      <c r="Q43" s="77">
        <f>IF($O43="De",1,0)</f>
        <v>0</v>
      </c>
      <c r="R43" s="77">
        <f>IF($O43="Ma",1,0)</f>
        <v>0</v>
      </c>
      <c r="S43" s="77">
        <f t="shared" si="14"/>
        <v>0</v>
      </c>
      <c r="T43" s="77" t="str">
        <f>IF(S43=1,O43&amp;", ","")</f>
        <v/>
      </c>
      <c r="U43" s="77">
        <f t="shared" si="15"/>
        <v>0</v>
      </c>
      <c r="V43" s="77" t="str">
        <f t="shared" si="16"/>
        <v/>
      </c>
      <c r="W43" s="77">
        <f t="shared" si="17"/>
        <v>0</v>
      </c>
      <c r="X43" s="77" t="str">
        <f t="shared" si="16"/>
        <v/>
      </c>
      <c r="Y43" s="77">
        <f>IF(OR($O43="Ma",$O43="Bi",$O43="Ch",$O43="Ph",$O43="If"),1,0)</f>
        <v>0</v>
      </c>
      <c r="Z43" s="77" t="str">
        <f t="shared" ref="Z43:AB43" si="20">IF(Y43=1,$O43&amp;", ","")</f>
        <v/>
      </c>
      <c r="AA43" s="77">
        <f>IF(OR($O43="Bi",$O43="Ch",$O43="Ph"),1,0)</f>
        <v>0</v>
      </c>
      <c r="AB43" s="77" t="str">
        <f t="shared" si="20"/>
        <v/>
      </c>
    </row>
    <row r="44" spans="1:28" x14ac:dyDescent="0.25">
      <c r="A44" s="101" t="s">
        <v>180</v>
      </c>
      <c r="B44" s="122"/>
      <c r="C44" s="122"/>
      <c r="D44" s="82" t="str">
        <f t="shared" si="13"/>
        <v>f</v>
      </c>
      <c r="I44" s="77">
        <f>IF(B44="",1,IF(N44&gt;=2,1,0))</f>
        <v>1</v>
      </c>
      <c r="J44" s="77" t="s">
        <v>117</v>
      </c>
      <c r="K44" s="77" t="e">
        <f>VLOOKUP($J44,F!$Z$3:$AD$227,$K$37+1,0)</f>
        <v>#VALUE!</v>
      </c>
      <c r="L44" s="77" t="e">
        <f>VLOOKUP($J44,F!$AE$3:$AI$227,$K$37+1,0)</f>
        <v>#VALUE!</v>
      </c>
      <c r="M44" s="77">
        <f>IF(O44="",0,COUNTIF($O$40:$O$58,O44))</f>
        <v>0</v>
      </c>
      <c r="N44" s="77">
        <f>IF(O44="",0,COUNTIF($O$40:$O$44,O44))</f>
        <v>0</v>
      </c>
      <c r="O44" s="85" t="str">
        <f>IF(B44="","",VLOOKUP(B44,F!$A$2:$C$22,3,0))</f>
        <v/>
      </c>
      <c r="P44" s="102" t="str">
        <f>IF(C44="","xx",VLOOKUP(C44,F!$A$2:$C$22,3,0))</f>
        <v>xx</v>
      </c>
      <c r="Q44" s="77">
        <f>IF($O44="De",1,0)</f>
        <v>0</v>
      </c>
      <c r="R44" s="77">
        <f>IF($O44="Ma",1,0)</f>
        <v>0</v>
      </c>
      <c r="S44" s="77">
        <f t="shared" si="14"/>
        <v>0</v>
      </c>
      <c r="T44" s="77" t="str">
        <f>IF(S44=1,O44&amp;", ","")</f>
        <v/>
      </c>
      <c r="U44" s="77">
        <f t="shared" si="15"/>
        <v>0</v>
      </c>
      <c r="V44" s="77" t="str">
        <f t="shared" si="16"/>
        <v/>
      </c>
      <c r="W44" s="77">
        <f t="shared" si="17"/>
        <v>0</v>
      </c>
      <c r="X44" s="77" t="str">
        <f t="shared" si="16"/>
        <v/>
      </c>
      <c r="Y44" s="77">
        <f>IF(OR($O44="Ma",$O44="Bi",$O44="Ch",$O44="Ph",$O44="If"),1,0)</f>
        <v>0</v>
      </c>
      <c r="Z44" s="77" t="str">
        <f t="shared" ref="Z44:AB44" si="21">IF(Y44=1,$O44&amp;", ","")</f>
        <v/>
      </c>
      <c r="AA44" s="77">
        <f>IF(OR($O44="Bi",$O44="Ch",$O44="Ph"),1,0)</f>
        <v>0</v>
      </c>
      <c r="AB44" s="77" t="str">
        <f t="shared" si="21"/>
        <v/>
      </c>
    </row>
    <row r="45" spans="1:28" x14ac:dyDescent="0.25">
      <c r="A45" s="93"/>
      <c r="D45" s="1" t="s">
        <v>184</v>
      </c>
      <c r="J45" s="88"/>
      <c r="K45" s="88"/>
      <c r="L45" s="88"/>
      <c r="Q45" s="103">
        <f t="shared" ref="Q45:AA45" si="22">SUM(Q40:Q44)</f>
        <v>0</v>
      </c>
      <c r="R45" s="104">
        <f t="shared" si="22"/>
        <v>0</v>
      </c>
      <c r="S45" s="104">
        <f t="shared" si="22"/>
        <v>0</v>
      </c>
      <c r="T45" s="104"/>
      <c r="U45" s="104">
        <f t="shared" si="22"/>
        <v>0</v>
      </c>
      <c r="V45" s="104"/>
      <c r="W45" s="104">
        <f t="shared" si="22"/>
        <v>0</v>
      </c>
      <c r="X45" s="104"/>
      <c r="Y45" s="104">
        <f t="shared" si="22"/>
        <v>0</v>
      </c>
      <c r="Z45" s="104"/>
      <c r="AA45" s="104">
        <f t="shared" si="22"/>
        <v>0</v>
      </c>
      <c r="AB45" s="104"/>
    </row>
    <row r="46" spans="1:28" x14ac:dyDescent="0.25">
      <c r="A46" s="93" t="s">
        <v>174</v>
      </c>
      <c r="C46" s="58" t="s">
        <v>16</v>
      </c>
      <c r="D46" s="1" t="s">
        <v>184</v>
      </c>
      <c r="I46" s="88"/>
      <c r="J46" s="88"/>
      <c r="K46" s="88"/>
      <c r="L46" s="88"/>
      <c r="O46" s="86"/>
      <c r="P46" s="86"/>
      <c r="Q46" s="88" t="str">
        <f>IF(Q45=1,"De, ","")</f>
        <v/>
      </c>
      <c r="R46" s="88" t="str">
        <f>IF(R45=1,"Ma, ","")</f>
        <v/>
      </c>
      <c r="S46" s="88" t="str">
        <f>IF(S45&gt;=1,"Fremdsp, ","")</f>
        <v/>
      </c>
      <c r="T46" s="88" t="str">
        <f>CONCATENATE(IF(S45=2,"{",""),IFERROR(LEFT(CONCATENATE(T40,T41,T42,T43,T44),LEN(CONCATENATE(T40,T41,T42,T43,T44))-2),""),IF(S45=2,"}",""))</f>
        <v/>
      </c>
      <c r="U46" s="88"/>
      <c r="V46" s="88" t="str">
        <f>IFERROR(LEFT(CONCATENATE(V40,V41,V42,V43,V44),LEN(CONCATENATE(V40,V41,V42,V43,V44))-2),"")</f>
        <v/>
      </c>
      <c r="W46" s="88"/>
      <c r="X46" s="88" t="str">
        <f>IFERROR(LEFT(CONCATENATE(X40,X41,X42,X43,X44),LEN(CONCATENATE(X40,X41,X42,X43,X44))-2),"")</f>
        <v/>
      </c>
      <c r="Y46" s="88"/>
      <c r="Z46" s="88" t="str">
        <f>IFERROR(LEFT(CONCATENATE(Z40,Z41,Z42,Z43,Z44),LEN(CONCATENATE(Z40,Z41,Z42,Z43,Z44))-2),"")</f>
        <v/>
      </c>
      <c r="AA46" s="88"/>
      <c r="AB46" s="88" t="str">
        <f>CONCATENATE(IF(AA45=2,"{",""),IFERROR(LEFT(CONCATENATE(AB40,AB41,AB42,AB43,AB44),LEN(CONCATENATE(AB40,AB41,AB42,AB43,AB44))-2),""),IF(AA45=2,"}",""))</f>
        <v/>
      </c>
    </row>
    <row r="47" spans="1:28" x14ac:dyDescent="0.25">
      <c r="A47" s="105"/>
      <c r="B47" s="105" t="s">
        <v>194</v>
      </c>
      <c r="C47" s="1" t="str">
        <f>IF(V46="","",V46)</f>
        <v/>
      </c>
      <c r="D47" s="82" t="str">
        <f t="shared" ref="D47:D51" si="23">IF(I47=1,"f","")</f>
        <v>f</v>
      </c>
      <c r="I47" s="77">
        <f>IF(C47="",1,0)</f>
        <v>1</v>
      </c>
      <c r="J47" s="88"/>
      <c r="K47" s="88"/>
      <c r="L47" s="88"/>
      <c r="O47" s="86"/>
      <c r="P47" s="86"/>
      <c r="Q47" s="88"/>
      <c r="R47" s="88" t="str">
        <f>IF(S45=0,IFERROR(LEFT(CONCATENATE(Q46,R46,T46),LEN(CONCATENATE(Q46,R46,T46))-2),""),CONCATENATE(Q46,R46,T46))</f>
        <v/>
      </c>
      <c r="S47" s="88"/>
      <c r="T47" s="88"/>
      <c r="U47" s="88"/>
      <c r="V47" s="88"/>
      <c r="W47" s="88"/>
      <c r="X47" s="88"/>
      <c r="Y47" s="88"/>
      <c r="Z47" s="88"/>
      <c r="AA47" s="88"/>
      <c r="AB47" s="77" t="str">
        <f>CONCATENATE(IF(AA45=2,"{",""),IFERROR(LEFT(CONCATENATE(AB40,AB41,AB42,AB43,AB44),LEN(CONCATENATE(AB40,AB41,AB42,AB43,AB44))-2),""),IF(AA45=2,"}",""))</f>
        <v/>
      </c>
    </row>
    <row r="48" spans="1:28" x14ac:dyDescent="0.25">
      <c r="A48" s="105"/>
      <c r="B48" s="105" t="s">
        <v>195</v>
      </c>
      <c r="C48" s="1" t="str">
        <f>IF(X46="","",X46)</f>
        <v/>
      </c>
      <c r="D48" s="82" t="str">
        <f t="shared" si="23"/>
        <v>f</v>
      </c>
      <c r="I48" s="77">
        <f>IF(C48="",1,0)</f>
        <v>1</v>
      </c>
      <c r="J48" s="88"/>
      <c r="K48" s="88"/>
      <c r="L48" s="88"/>
      <c r="O48" s="86"/>
      <c r="P48" s="86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</row>
    <row r="49" spans="1:28" x14ac:dyDescent="0.25">
      <c r="A49" s="105"/>
      <c r="B49" s="105" t="s">
        <v>196</v>
      </c>
      <c r="C49" s="1" t="str">
        <f>IF(Z46="","",Z46)</f>
        <v/>
      </c>
      <c r="D49" s="82" t="str">
        <f t="shared" si="23"/>
        <v>f</v>
      </c>
      <c r="I49" s="77">
        <f>IF(C49="",1,0)</f>
        <v>1</v>
      </c>
      <c r="J49" s="88"/>
      <c r="K49" s="88"/>
      <c r="L49" s="88"/>
      <c r="O49" s="86"/>
      <c r="P49" s="86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</row>
    <row r="50" spans="1:28" x14ac:dyDescent="0.25">
      <c r="A50" s="93" t="s">
        <v>217</v>
      </c>
      <c r="C50" s="1" t="str">
        <f>IF(R47="","",R47)</f>
        <v/>
      </c>
      <c r="D50" s="82" t="str">
        <f t="shared" si="23"/>
        <v>f</v>
      </c>
      <c r="I50" s="77">
        <f>IF(COUNTIF(Q45:S45,0)&gt;=2,1,0)</f>
        <v>1</v>
      </c>
      <c r="J50" s="88"/>
      <c r="K50" s="88"/>
      <c r="L50" s="88"/>
      <c r="O50" s="86"/>
      <c r="P50" s="86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</row>
    <row r="51" spans="1:28" x14ac:dyDescent="0.25">
      <c r="A51" s="93" t="s">
        <v>204</v>
      </c>
      <c r="B51" s="1" t="str">
        <f>IFERROR(IF(AND(COUNTBLANK(B40:B42)=0,J51&lt;2),"Die Prüfungsfächer passen nicht zum Schwerpunkt.",""),"")</f>
        <v/>
      </c>
      <c r="D51" s="82" t="str">
        <f t="shared" si="23"/>
        <v/>
      </c>
      <c r="I51" s="77">
        <f>IF(B37="",0,IF(AND(J51&lt;2,COUNTBLANK(B40:B42)=0),1,0))</f>
        <v>0</v>
      </c>
      <c r="J51" s="88" t="e">
        <f>HLOOKUP($K$37,$S$1:$V$2,2,0)</f>
        <v>#N/A</v>
      </c>
      <c r="K51" s="86" t="s">
        <v>203</v>
      </c>
      <c r="L51" s="88"/>
      <c r="O51" s="86"/>
      <c r="P51" s="86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</row>
    <row r="52" spans="1:28" x14ac:dyDescent="0.25">
      <c r="A52" s="93"/>
      <c r="I52" s="88"/>
      <c r="J52" s="88"/>
      <c r="K52" s="88"/>
      <c r="L52" s="88"/>
      <c r="O52" s="86"/>
      <c r="P52" s="86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</row>
    <row r="53" spans="1:28" x14ac:dyDescent="0.25">
      <c r="A53" s="93"/>
      <c r="D53" s="1" t="s">
        <v>184</v>
      </c>
      <c r="J53" s="88"/>
      <c r="K53" s="88"/>
      <c r="L53" s="88"/>
      <c r="O53" s="86"/>
      <c r="P53" s="86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</row>
    <row r="54" spans="1:28" ht="18.75" x14ac:dyDescent="0.3">
      <c r="A54" s="78" t="s">
        <v>279</v>
      </c>
      <c r="B54" s="79"/>
      <c r="C54" s="80" t="str">
        <f>IF(SUM(I57:I65)=0,"okay","")</f>
        <v/>
      </c>
      <c r="D54" s="1" t="s">
        <v>184</v>
      </c>
      <c r="J54" s="88"/>
      <c r="K54" s="88"/>
      <c r="L54" s="88"/>
      <c r="O54" s="86"/>
      <c r="P54" s="86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</row>
    <row r="55" spans="1:28" hidden="1" x14ac:dyDescent="0.25">
      <c r="J55" s="88"/>
      <c r="K55" s="88"/>
      <c r="L55" s="88"/>
      <c r="O55" s="86"/>
      <c r="P55" s="86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</row>
    <row r="56" spans="1:28" x14ac:dyDescent="0.25">
      <c r="A56" s="98"/>
      <c r="B56" s="99" t="s">
        <v>0</v>
      </c>
      <c r="C56" s="99" t="s">
        <v>1</v>
      </c>
      <c r="J56" s="88"/>
      <c r="K56" s="88"/>
      <c r="L56" s="88"/>
      <c r="O56" s="86"/>
      <c r="P56" s="86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</row>
    <row r="57" spans="1:28" x14ac:dyDescent="0.25">
      <c r="A57" s="101" t="s">
        <v>182</v>
      </c>
      <c r="B57" s="122"/>
      <c r="C57" s="122"/>
      <c r="D57" s="82" t="str">
        <f t="shared" ref="D57:D58" si="24">IF(I57=1,"f","")</f>
        <v>f</v>
      </c>
      <c r="I57" s="77">
        <f>IF(B57="",1,IF(M57&gt;=2,1,0))</f>
        <v>1</v>
      </c>
      <c r="J57" s="77" t="s">
        <v>163</v>
      </c>
      <c r="K57" s="77" t="e">
        <f>VLOOKUP($J57,F!$Z$3:$AD$227,$K$37+1,0)</f>
        <v>#VALUE!</v>
      </c>
      <c r="L57" s="77" t="e">
        <f>VLOOKUP($J57,F!$AE$3:$AI$227,$K$37+1,0)</f>
        <v>#VALUE!</v>
      </c>
      <c r="M57" s="77">
        <f>IF(O57="",0,COUNTIF($O$40:$O$58,O57))</f>
        <v>0</v>
      </c>
      <c r="N57" s="77"/>
      <c r="O57" s="85" t="str">
        <f>IF(B57="","",VLOOKUP(B57,F!$A$2:$C$22,3,0))</f>
        <v/>
      </c>
      <c r="P57" s="102" t="str">
        <f>IF(C57="","xx",VLOOKUP(C57,F!$A$2:$C$22,3,0))</f>
        <v>xx</v>
      </c>
      <c r="Q57" s="77">
        <f>IF($O57="De",1,0)</f>
        <v>0</v>
      </c>
      <c r="R57" s="77">
        <f>IF($O57="Ma",1,0)</f>
        <v>0</v>
      </c>
      <c r="S57" s="77">
        <f t="shared" ref="S57:S58" si="25">IF(OR($O57="En",$O57="Fr",$O57="Sn",$O57="La"),1,0)</f>
        <v>0</v>
      </c>
      <c r="T57" s="77" t="str">
        <f>IF(S57=1,O57&amp;", ","")</f>
        <v/>
      </c>
      <c r="U57" s="88"/>
      <c r="V57" s="88"/>
      <c r="W57" s="88"/>
      <c r="X57" s="88"/>
      <c r="Y57" s="88"/>
      <c r="Z57" s="88"/>
      <c r="AA57" s="77">
        <f>IF(OR($O57="Bi",$O57="Ch",$O57="Ph"),1,0)</f>
        <v>0</v>
      </c>
      <c r="AB57" s="77" t="str">
        <f t="shared" ref="AB57:AB58" si="26">IF(AA57=1,$O57&amp;", ","")</f>
        <v/>
      </c>
    </row>
    <row r="58" spans="1:28" x14ac:dyDescent="0.25">
      <c r="A58" s="76" t="str">
        <f>IF(OR(AND($K$37&lt;&gt;4,COUNTIF($B$41:$B$42,"Informatik")=1),COUNTIF($B$42:$B$44,"Kunst")=1,COUNTIF($B$42:$B$44,"Musik")=1),"O2   (gA, ohne Abiturprüfung)","")</f>
        <v/>
      </c>
      <c r="B58" s="122"/>
      <c r="C58" s="122"/>
      <c r="D58" s="82" t="str">
        <f t="shared" si="24"/>
        <v/>
      </c>
      <c r="I58" s="77">
        <f>IF(OR(AND(A58="",B58&lt;&gt;""),AND(A58&lt;&gt;"",B58="")),1,IF(M58&gt;=2,1,0))</f>
        <v>0</v>
      </c>
      <c r="J58" s="77" t="s">
        <v>164</v>
      </c>
      <c r="K58" s="77" t="e">
        <f>VLOOKUP($J58,F!$Z$3:$AD$227,$K$37+1,0)</f>
        <v>#VALUE!</v>
      </c>
      <c r="L58" s="77" t="e">
        <f>VLOOKUP($J58,F!$AE$3:$AI$227,$K$37+1,0)</f>
        <v>#VALUE!</v>
      </c>
      <c r="M58" s="77">
        <f>IF(O58="",0,COUNTIF($O$40:$O$58,O58))</f>
        <v>0</v>
      </c>
      <c r="N58" s="77"/>
      <c r="O58" s="85" t="str">
        <f>IF(B58="","",VLOOKUP(B58,F!$A$2:$C$22,3,0))</f>
        <v/>
      </c>
      <c r="P58" s="102" t="str">
        <f>IF(C58="","xx",VLOOKUP(C58,F!$A$2:$C$22,3,0))</f>
        <v>xx</v>
      </c>
      <c r="Q58" s="77">
        <f>IF($O58="De",1,0)</f>
        <v>0</v>
      </c>
      <c r="R58" s="77">
        <f>IF($O58="Ma",1,0)</f>
        <v>0</v>
      </c>
      <c r="S58" s="77">
        <f t="shared" si="25"/>
        <v>0</v>
      </c>
      <c r="T58" s="77" t="str">
        <f>IF(S58=1,O58&amp;", ","")</f>
        <v/>
      </c>
      <c r="U58" s="88"/>
      <c r="V58" s="88"/>
      <c r="W58" s="88"/>
      <c r="X58" s="88"/>
      <c r="Y58" s="88"/>
      <c r="Z58" s="88"/>
      <c r="AA58" s="77">
        <f>IF(OR($O58="Bi",$O58="Ch",$O58="Ph"),1,0)</f>
        <v>0</v>
      </c>
      <c r="AB58" s="77" t="str">
        <f t="shared" si="26"/>
        <v/>
      </c>
    </row>
    <row r="59" spans="1:28" x14ac:dyDescent="0.25">
      <c r="D59" s="1" t="s">
        <v>184</v>
      </c>
      <c r="O59" s="106" t="s">
        <v>176</v>
      </c>
      <c r="Q59" s="104">
        <f t="shared" ref="Q59:AA59" si="27">SUM(Q45:Q58)</f>
        <v>0</v>
      </c>
      <c r="R59" s="104">
        <f t="shared" si="27"/>
        <v>0</v>
      </c>
      <c r="S59" s="104">
        <f t="shared" si="27"/>
        <v>0</v>
      </c>
      <c r="T59" s="104"/>
      <c r="U59" s="104">
        <f t="shared" si="27"/>
        <v>0</v>
      </c>
      <c r="V59" s="104"/>
      <c r="W59" s="104">
        <f t="shared" si="27"/>
        <v>0</v>
      </c>
      <c r="X59" s="104"/>
      <c r="Y59" s="104">
        <f t="shared" si="27"/>
        <v>0</v>
      </c>
      <c r="Z59" s="104"/>
      <c r="AA59" s="104">
        <f t="shared" si="27"/>
        <v>0</v>
      </c>
    </row>
    <row r="60" spans="1:28" x14ac:dyDescent="0.25">
      <c r="A60" s="93" t="s">
        <v>206</v>
      </c>
      <c r="D60" s="1" t="s">
        <v>184</v>
      </c>
      <c r="H60" s="97"/>
      <c r="I60" s="88"/>
      <c r="K60" s="77">
        <v>1</v>
      </c>
      <c r="L60" s="77">
        <v>2</v>
      </c>
      <c r="M60" s="77">
        <v>3</v>
      </c>
      <c r="N60" s="77">
        <v>4</v>
      </c>
      <c r="T60" s="88" t="str">
        <f>IFERROR(LEFT(CONCATENATE(T40,T41,T42,T43,T44,T57,T58),LEN(CONCATENATE(T40,T41,T42,T43,T44,T57,T58))-2),"")</f>
        <v/>
      </c>
      <c r="AB60" s="77" t="str">
        <f>IFERROR(LEFT(CONCATENATE(AB40,AB41,AB42,AB43,AB44,AB57,AB58),LEN(CONCATENATE(AB40,AB41,AB42,AB43,AB44,AB57,AB58))-2),"")</f>
        <v/>
      </c>
    </row>
    <row r="61" spans="1:28" x14ac:dyDescent="0.25">
      <c r="A61" s="93"/>
      <c r="B61" s="105" t="str">
        <f>IFERROR(HLOOKUP($K$37,$K$60:$N$61,2,0),"__")&amp;" Fremdsprache(n):"</f>
        <v>__ Fremdsprache(n):</v>
      </c>
      <c r="C61" s="1" t="str">
        <f>T60</f>
        <v/>
      </c>
      <c r="D61" s="82" t="str">
        <f t="shared" ref="D61:D65" si="28">IF(I61=1,"f","")</f>
        <v>f</v>
      </c>
      <c r="H61" s="97"/>
      <c r="I61" s="77">
        <f>IF(C61="",1,IF(HLOOKUP($K$37,$K$60:$N$63,2,0)&lt;&gt;S59,1,0))</f>
        <v>1</v>
      </c>
      <c r="K61" s="77">
        <v>2</v>
      </c>
      <c r="L61" s="77">
        <v>1</v>
      </c>
      <c r="M61" s="77">
        <v>1</v>
      </c>
      <c r="N61" s="77">
        <v>1</v>
      </c>
    </row>
    <row r="62" spans="1:28" x14ac:dyDescent="0.25">
      <c r="A62" s="93"/>
      <c r="B62" s="105" t="str">
        <f>IFERROR(HLOOKUP($K$37,$K$60:$N$62,3,0),"__")&amp;" Naturwissenschaft(en):"</f>
        <v>__ Naturwissenschaft(en):</v>
      </c>
      <c r="C62" s="1" t="str">
        <f>AB60</f>
        <v/>
      </c>
      <c r="D62" s="82" t="str">
        <f t="shared" si="28"/>
        <v>f</v>
      </c>
      <c r="H62" s="97"/>
      <c r="I62" s="77">
        <f>IF(C62="",1,IF(HLOOKUP($K$37,$K$60:$N$63,3,0)&lt;&gt;AA59,1,0))</f>
        <v>1</v>
      </c>
      <c r="K62" s="77">
        <v>1</v>
      </c>
      <c r="L62" s="77">
        <v>1</v>
      </c>
      <c r="M62" s="77">
        <v>1</v>
      </c>
      <c r="N62" s="77">
        <v>2</v>
      </c>
    </row>
    <row r="63" spans="1:28" x14ac:dyDescent="0.25">
      <c r="A63" s="93"/>
      <c r="B63" s="105" t="str">
        <f>IFERROR(HLOOKUP($K$37,$K$60:$N$63,4,0),"__")&amp;" Gesellschaftswissenschaft(en):"</f>
        <v>__ Gesellschaftswissenschaft(en):</v>
      </c>
      <c r="C63" s="1" t="str">
        <f>X46</f>
        <v/>
      </c>
      <c r="D63" s="82" t="str">
        <f t="shared" si="28"/>
        <v>f</v>
      </c>
      <c r="H63" s="97"/>
      <c r="I63" s="77">
        <f>IF(C63="",1,IF(HLOOKUP($K$37,$K$60:$N$63,4,0)&lt;&gt;W59,1,0))</f>
        <v>1</v>
      </c>
      <c r="K63" s="77">
        <v>1</v>
      </c>
      <c r="L63" s="77">
        <v>1</v>
      </c>
      <c r="M63" s="77">
        <v>2</v>
      </c>
      <c r="N63" s="77">
        <v>1</v>
      </c>
    </row>
    <row r="64" spans="1:28" x14ac:dyDescent="0.25">
      <c r="A64" s="93"/>
      <c r="B64" s="105" t="s">
        <v>207</v>
      </c>
      <c r="C64" s="1" t="str">
        <f>IF(Q59=0,"","De")</f>
        <v/>
      </c>
      <c r="D64" s="82" t="str">
        <f t="shared" si="28"/>
        <v>f</v>
      </c>
      <c r="H64" s="97"/>
      <c r="I64" s="77">
        <f>IF(C64="",1,0)</f>
        <v>1</v>
      </c>
      <c r="K64" s="88"/>
      <c r="L64" s="88"/>
      <c r="M64" s="88"/>
      <c r="N64" s="88"/>
    </row>
    <row r="65" spans="1:26" x14ac:dyDescent="0.25">
      <c r="A65" s="93"/>
      <c r="B65" s="105" t="s">
        <v>208</v>
      </c>
      <c r="C65" s="1" t="str">
        <f>IF(R59=0,"","Ma")</f>
        <v/>
      </c>
      <c r="D65" s="82" t="str">
        <f t="shared" si="28"/>
        <v>f</v>
      </c>
      <c r="H65" s="97"/>
      <c r="I65" s="77">
        <f>IF(C65="",1,0)</f>
        <v>1</v>
      </c>
    </row>
    <row r="66" spans="1:26" x14ac:dyDescent="0.25">
      <c r="D66" s="1" t="s">
        <v>184</v>
      </c>
    </row>
    <row r="68" spans="1:26" ht="18.75" x14ac:dyDescent="0.3">
      <c r="A68" s="78" t="s">
        <v>187</v>
      </c>
      <c r="B68" s="79"/>
      <c r="C68" s="80" t="str">
        <f>IF(SUM(I71:I74)=0,"okay","")</f>
        <v/>
      </c>
    </row>
    <row r="69" spans="1:26" hidden="1" x14ac:dyDescent="0.25">
      <c r="P69" s="88">
        <f>(3-COUNTIF(O40:O42,""))*5+(2-COUNTIF(O43:O44,""))*3+(2-COUNTIF(O57:O58,""))*3</f>
        <v>0</v>
      </c>
      <c r="Q69" s="88">
        <f>P69</f>
        <v>0</v>
      </c>
    </row>
    <row r="70" spans="1:26" x14ac:dyDescent="0.25">
      <c r="A70" s="98"/>
      <c r="B70" s="99" t="s">
        <v>211</v>
      </c>
      <c r="C70" s="107" t="s">
        <v>210</v>
      </c>
      <c r="P70" s="75" t="s">
        <v>213</v>
      </c>
      <c r="Q70" s="75" t="s">
        <v>214</v>
      </c>
      <c r="S70" s="77">
        <v>12</v>
      </c>
      <c r="T70" s="77">
        <v>13</v>
      </c>
      <c r="V70" s="77">
        <v>12</v>
      </c>
      <c r="W70" s="77">
        <v>13</v>
      </c>
      <c r="Y70" s="77">
        <v>12</v>
      </c>
      <c r="Z70" s="77">
        <v>13</v>
      </c>
    </row>
    <row r="71" spans="1:26" x14ac:dyDescent="0.25">
      <c r="A71" s="101" t="s">
        <v>197</v>
      </c>
      <c r="B71" s="122"/>
      <c r="C71" s="76" t="s">
        <v>291</v>
      </c>
      <c r="D71" s="82" t="str">
        <f t="shared" ref="D71" si="29">IF(I71=1,"f","")</f>
        <v>f</v>
      </c>
      <c r="I71" s="77">
        <f>IF(OR(COUNTIF($O$40:$O$58,O71)=1,AND(COUNTIF($O$40:$O$58,"Mu")+COUNTIF($O$40:$O$58,"Ku")=2,B71&lt;&gt;""),AND(COUNTIF($O$40:$O$58,"Mu")+COUNTIF($O$40:$O$58,"Ku")&lt;2,B71="")),1,0)</f>
        <v>1</v>
      </c>
      <c r="O71" s="76" t="str">
        <f>IFERROR(VLOOKUP(B71,F!$A$2:$C$22,3,0),"")</f>
        <v/>
      </c>
      <c r="P71" s="77">
        <f>IF(O71="",0,3)</f>
        <v>0</v>
      </c>
      <c r="Q71" s="76"/>
      <c r="S71" s="77" t="str">
        <f t="shared" ref="S71:T75" si="30">IF(P71&gt;0,$O71,"")</f>
        <v/>
      </c>
      <c r="T71" s="77" t="str">
        <f t="shared" si="30"/>
        <v/>
      </c>
      <c r="V71" s="77">
        <v>0</v>
      </c>
      <c r="W71" s="77">
        <v>0</v>
      </c>
      <c r="Y71" s="77" t="str">
        <f t="shared" ref="Y71:Z75" si="31">IF(S71="","",IF(V71=0,S71,","&amp;S71))</f>
        <v/>
      </c>
      <c r="Z71" s="77" t="str">
        <f t="shared" si="31"/>
        <v/>
      </c>
    </row>
    <row r="72" spans="1:26" x14ac:dyDescent="0.25">
      <c r="A72" s="101" t="s">
        <v>8</v>
      </c>
      <c r="B72" s="85" t="str">
        <f>IF(COUNTIF($O$40:$O$58,"Po")=1,"- schon belegt -",IF(AND(O40="Ge",O42="Ek"),"- nicht notwendig -","Politik-Wirtschaft"))</f>
        <v>Politik-Wirtschaft</v>
      </c>
      <c r="C72" s="76" t="s">
        <v>291</v>
      </c>
      <c r="O72" s="76" t="str">
        <f>IFERROR(VLOOKUP(B72,F!$A$2:$C$22,3,0),"")</f>
        <v>Po</v>
      </c>
      <c r="P72" s="77">
        <f>IF(O72="",0,3)</f>
        <v>3</v>
      </c>
      <c r="Q72" s="76"/>
      <c r="S72" s="77" t="str">
        <f t="shared" si="30"/>
        <v>Po</v>
      </c>
      <c r="T72" s="77" t="str">
        <f t="shared" si="30"/>
        <v/>
      </c>
      <c r="V72" s="77">
        <f>1-COUNTBLANK(S$71:S71)</f>
        <v>0</v>
      </c>
      <c r="W72" s="77">
        <f>1-COUNTBLANK(T$71:T71)</f>
        <v>0</v>
      </c>
      <c r="Y72" s="77" t="str">
        <f t="shared" si="31"/>
        <v>Po</v>
      </c>
      <c r="Z72" s="77" t="str">
        <f t="shared" si="31"/>
        <v/>
      </c>
    </row>
    <row r="73" spans="1:26" x14ac:dyDescent="0.25">
      <c r="A73" s="101" t="str">
        <f>IF(K37=3,"Pflicht-Fremdspr. im gesell. SP","---")</f>
        <v>---</v>
      </c>
      <c r="B73" s="126" t="str">
        <f>IF(K37&lt;&gt;3,"",IF(COUNTIF($O$40:$O$58,"En")=1,B6,IF(C61="","","Englisch")))</f>
        <v/>
      </c>
      <c r="C73" s="76" t="str">
        <f>IF(K37&lt;&gt;3,"","nur in Jahrgang 12")</f>
        <v/>
      </c>
      <c r="D73" s="82" t="str">
        <f t="shared" ref="D73:D74" si="32">IF(I73=1,"f","")</f>
        <v/>
      </c>
      <c r="I73" s="77">
        <f>IF(OR(AND(K37&lt;&gt;3,B73&lt;&gt;""),AND(K37=3,B73="")),1,IF(AND(B73&lt;&gt;"",COUNTIF($O$40:$O$58,O73)&gt;=1),1,0))</f>
        <v>0</v>
      </c>
      <c r="O73" s="76" t="str">
        <f>IFERROR(VLOOKUP(B73,F!$A$2:$C$22,3,0),"")</f>
        <v/>
      </c>
      <c r="P73" s="77">
        <f>IF(O73="",0,3)</f>
        <v>0</v>
      </c>
      <c r="Q73" s="76"/>
      <c r="S73" s="77" t="str">
        <f t="shared" si="30"/>
        <v/>
      </c>
      <c r="T73" s="77" t="str">
        <f t="shared" si="30"/>
        <v/>
      </c>
      <c r="V73" s="77">
        <f>2-COUNTBLANK(S$71:S72)</f>
        <v>1</v>
      </c>
      <c r="W73" s="77">
        <f>2-COUNTBLANK(T$71:T72)</f>
        <v>0</v>
      </c>
      <c r="Y73" s="77" t="str">
        <f t="shared" si="31"/>
        <v/>
      </c>
      <c r="Z73" s="77" t="str">
        <f t="shared" si="31"/>
        <v/>
      </c>
    </row>
    <row r="74" spans="1:26" x14ac:dyDescent="0.25">
      <c r="A74" s="101" t="str">
        <f>IF(COUNTIF($O$40:$O$58,"Wn")+COUNTIF($O$40:$O$58,"Re")=1,"","Ev. Religion / Werte und Normen")</f>
        <v>Ev. Religion / Werte und Normen</v>
      </c>
      <c r="B74" s="122"/>
      <c r="C74" s="76" t="s">
        <v>292</v>
      </c>
      <c r="D74" s="82" t="str">
        <f t="shared" si="32"/>
        <v>f</v>
      </c>
      <c r="I74" s="77">
        <f>IF(OR(AND(A74="",B74&lt;&gt;""),AND(A74&lt;&gt;"",B74="")),1,IF(AND(B74&lt;&gt;"",COUNTIF($O$40:$O$58,O74)&gt;=1),1,0))</f>
        <v>1</v>
      </c>
      <c r="O74" s="76" t="str">
        <f>IFERROR(VLOOKUP(B74,F!$A$2:$C$22,3,0),"")</f>
        <v/>
      </c>
      <c r="P74" s="77"/>
      <c r="Q74" s="77">
        <f>IF(O74="",0,3)</f>
        <v>0</v>
      </c>
      <c r="S74" s="77" t="str">
        <f t="shared" si="30"/>
        <v/>
      </c>
      <c r="T74" s="77" t="str">
        <f t="shared" si="30"/>
        <v/>
      </c>
      <c r="V74" s="77">
        <f>3-COUNTBLANK(S$71:S73)</f>
        <v>1</v>
      </c>
      <c r="W74" s="77">
        <f>3-COUNTBLANK(T$71:T73)</f>
        <v>0</v>
      </c>
      <c r="Y74" s="77" t="str">
        <f t="shared" si="31"/>
        <v/>
      </c>
      <c r="Z74" s="77" t="str">
        <f t="shared" si="31"/>
        <v/>
      </c>
    </row>
    <row r="75" spans="1:26" x14ac:dyDescent="0.25">
      <c r="A75" s="101" t="s">
        <v>6</v>
      </c>
      <c r="B75" s="85" t="str">
        <f>IF(COUNTIF($O$40:$O$58,"Ge")=0,"Geschichte","- schon belegt -")</f>
        <v>Geschichte</v>
      </c>
      <c r="C75" s="76" t="s">
        <v>292</v>
      </c>
      <c r="O75" s="76" t="str">
        <f>IFERROR(VLOOKUP(B75,F!$A$2:$C$22,3,0),"")</f>
        <v>Ge</v>
      </c>
      <c r="P75" s="77"/>
      <c r="Q75" s="77">
        <f>IF(O75="",0,3)</f>
        <v>3</v>
      </c>
      <c r="S75" s="77" t="str">
        <f t="shared" si="30"/>
        <v/>
      </c>
      <c r="T75" s="77" t="str">
        <f t="shared" si="30"/>
        <v>Ge</v>
      </c>
      <c r="V75" s="77">
        <f>4-COUNTBLANK(S$71:S74)</f>
        <v>1</v>
      </c>
      <c r="W75" s="77">
        <f>4-COUNTBLANK(T$71:T74)</f>
        <v>0</v>
      </c>
      <c r="Y75" s="77" t="str">
        <f t="shared" si="31"/>
        <v/>
      </c>
      <c r="Z75" s="77" t="str">
        <f t="shared" si="31"/>
        <v>Ge</v>
      </c>
    </row>
    <row r="76" spans="1:26" x14ac:dyDescent="0.25">
      <c r="B76" s="75"/>
      <c r="C76" s="75"/>
    </row>
    <row r="77" spans="1:26" x14ac:dyDescent="0.25">
      <c r="B77" s="75"/>
      <c r="C77" s="75"/>
    </row>
    <row r="78" spans="1:26" ht="18.75" x14ac:dyDescent="0.3">
      <c r="A78" s="78" t="s">
        <v>218</v>
      </c>
      <c r="B78" s="79"/>
      <c r="C78" s="80" t="str">
        <f>IF(SUM(I81:I83)=0,"okay","")</f>
        <v>okay</v>
      </c>
    </row>
    <row r="79" spans="1:26" hidden="1" x14ac:dyDescent="0.25"/>
    <row r="80" spans="1:26" x14ac:dyDescent="0.25">
      <c r="A80" s="98"/>
      <c r="B80" s="99" t="s">
        <v>0</v>
      </c>
      <c r="C80" s="107" t="s">
        <v>210</v>
      </c>
      <c r="O80" s="108" t="s">
        <v>215</v>
      </c>
      <c r="P80" s="109">
        <f>P69+P71+P72+P73+P74+P75+P81+P82+P83</f>
        <v>3</v>
      </c>
      <c r="Q80" s="109">
        <f>Q69+Q71+Q72+Q73+Q74+Q75+Q81+Q82+Q83</f>
        <v>3</v>
      </c>
      <c r="S80" s="88"/>
      <c r="T80" s="88"/>
      <c r="V80" s="88"/>
      <c r="W80" s="88"/>
      <c r="Y80" s="77">
        <v>12</v>
      </c>
      <c r="Z80" s="77">
        <v>13</v>
      </c>
    </row>
    <row r="81" spans="1:26" x14ac:dyDescent="0.25">
      <c r="A81" s="101" t="s">
        <v>220</v>
      </c>
      <c r="B81" s="122"/>
      <c r="C81" s="76" t="s">
        <v>291</v>
      </c>
      <c r="D81" s="82" t="str">
        <f t="shared" ref="D81:D83" si="33">IF(I81=1,"f","")</f>
        <v/>
      </c>
      <c r="I81" s="77">
        <f>IF(OR(AND(B81&lt;&gt;"",$C$89&gt;F!$K$19),COUNTIF($O$40:$O$75,O81)=1),1,0)</f>
        <v>0</v>
      </c>
      <c r="O81" s="76" t="str">
        <f>IFERROR(VLOOKUP(B81,F!$A$2:$C$22,3,0),"")</f>
        <v/>
      </c>
      <c r="P81" s="77">
        <f>IF(O81="",0,3)</f>
        <v>0</v>
      </c>
      <c r="Q81" s="76"/>
      <c r="S81" s="77" t="str">
        <f t="shared" ref="S81:T83" si="34">IF(P81&gt;0,$O81,"")</f>
        <v/>
      </c>
      <c r="T81" s="77" t="str">
        <f t="shared" si="34"/>
        <v/>
      </c>
      <c r="V81" s="77">
        <f>10-COUNTBLANK(S$71:S80)</f>
        <v>1</v>
      </c>
      <c r="W81" s="77"/>
      <c r="Y81" s="77" t="str">
        <f t="shared" ref="Y81:Z83" si="35">IF(S81="","",IF(V81=0,S81,","&amp;S81))</f>
        <v/>
      </c>
      <c r="Z81" s="77" t="str">
        <f t="shared" si="35"/>
        <v/>
      </c>
    </row>
    <row r="82" spans="1:26" x14ac:dyDescent="0.25">
      <c r="A82" s="101" t="s">
        <v>212</v>
      </c>
      <c r="B82" s="122"/>
      <c r="C82" s="76" t="s">
        <v>291</v>
      </c>
      <c r="D82" s="82" t="str">
        <f t="shared" si="33"/>
        <v/>
      </c>
      <c r="I82" s="77">
        <f>IF(OR(AND(B82&lt;&gt;"",$C$89&gt;F!$K$19),COUNTIF($O$40:$O$75,O82)=1),1,0)</f>
        <v>0</v>
      </c>
      <c r="O82" s="76" t="str">
        <f>IFERROR(VLOOKUP(B82,F!$A$2:$C$22,3,0),"")</f>
        <v/>
      </c>
      <c r="P82" s="77">
        <f>IF(O82="",0,3)</f>
        <v>0</v>
      </c>
      <c r="Q82" s="76"/>
      <c r="S82" s="77" t="str">
        <f t="shared" si="34"/>
        <v/>
      </c>
      <c r="T82" s="77" t="str">
        <f t="shared" si="34"/>
        <v/>
      </c>
      <c r="V82" s="77">
        <f>11-COUNTBLANK(S$71:S81)</f>
        <v>1</v>
      </c>
      <c r="W82" s="77"/>
      <c r="Y82" s="77" t="str">
        <f t="shared" si="35"/>
        <v/>
      </c>
      <c r="Z82" s="77" t="str">
        <f t="shared" si="35"/>
        <v/>
      </c>
    </row>
    <row r="83" spans="1:26" x14ac:dyDescent="0.25">
      <c r="A83" s="101" t="s">
        <v>219</v>
      </c>
      <c r="B83" s="122"/>
      <c r="C83" s="76" t="s">
        <v>291</v>
      </c>
      <c r="D83" s="82" t="str">
        <f t="shared" si="33"/>
        <v/>
      </c>
      <c r="I83" s="77">
        <f>IF(OR(AND(B83&lt;&gt;"",$C$89&gt;F!$K$19),COUNTIF($O$40:$O$75,O83)=1),1,0)</f>
        <v>0</v>
      </c>
      <c r="O83" s="76" t="str">
        <f>IFERROR(VLOOKUP(B83,F!$A$2:$C$22,3,0),"")</f>
        <v/>
      </c>
      <c r="P83" s="77">
        <f>IF(O83="",0,3)</f>
        <v>0</v>
      </c>
      <c r="Q83" s="76"/>
      <c r="S83" s="77" t="str">
        <f t="shared" si="34"/>
        <v/>
      </c>
      <c r="T83" s="77" t="str">
        <f t="shared" si="34"/>
        <v/>
      </c>
      <c r="V83" s="77">
        <f>12-COUNTBLANK(S$71:S82)</f>
        <v>1</v>
      </c>
      <c r="W83" s="77"/>
      <c r="Y83" s="77" t="str">
        <f t="shared" si="35"/>
        <v/>
      </c>
      <c r="Z83" s="77" t="str">
        <f t="shared" si="35"/>
        <v/>
      </c>
    </row>
    <row r="84" spans="1:26" x14ac:dyDescent="0.25">
      <c r="I84" s="88"/>
      <c r="O84" s="110"/>
      <c r="P84" s="111"/>
      <c r="Q84" s="111"/>
      <c r="Y84" s="76" t="str">
        <f>CONCATENATE(Y71,Y72,Y73,Y74,Y75,Y81,Y82,Y83)</f>
        <v>Po</v>
      </c>
      <c r="Z84" s="76" t="str">
        <f>CONCATENATE(Z71,Z72,Z73,Z74,Z75,Z81,Z82,Z83)</f>
        <v>Ge</v>
      </c>
    </row>
    <row r="86" spans="1:26" ht="18.75" x14ac:dyDescent="0.3">
      <c r="A86" s="78" t="s">
        <v>274</v>
      </c>
      <c r="B86" s="79"/>
      <c r="C86" s="80" t="str">
        <f>IF(SUM(I89:I93)=0,"okay","")</f>
        <v/>
      </c>
    </row>
    <row r="87" spans="1:26" x14ac:dyDescent="0.25">
      <c r="A87" s="93" t="s">
        <v>230</v>
      </c>
    </row>
    <row r="88" spans="1:26" x14ac:dyDescent="0.25">
      <c r="A88" s="93"/>
      <c r="M88" s="88" t="s">
        <v>216</v>
      </c>
    </row>
    <row r="89" spans="1:26" x14ac:dyDescent="0.25">
      <c r="A89" s="1" t="str">
        <f>CONCATENATE("Fächer im 1. Semester: ",J89)</f>
        <v>Fächer im 1. Semester: ,,,,, | Po | Sp,Sf</v>
      </c>
      <c r="B89" s="81"/>
      <c r="C89" s="81">
        <f>M89</f>
        <v>7</v>
      </c>
      <c r="D89" s="82" t="str">
        <f t="shared" ref="D89:D93" si="36">IF(I89=1,"f","")</f>
        <v/>
      </c>
      <c r="I89" s="77">
        <f>IF(C89&gt;F!K19,1,0)</f>
        <v>0</v>
      </c>
      <c r="J89" s="76" t="str">
        <f>CONCATENATE(O40,",",O41,",",O42,",",O43,",",O44,",",O57,IF(O58="","",","),O58," | ",Y84," | Sp,Sf")</f>
        <v>,,,,, | Po | Sp,Sf</v>
      </c>
      <c r="M89" s="77">
        <f>$P$80+4</f>
        <v>7</v>
      </c>
    </row>
    <row r="90" spans="1:26" x14ac:dyDescent="0.25">
      <c r="A90" s="1" t="str">
        <f>CONCATENATE("Fächer im 2. Semester: ",J90)</f>
        <v>Fächer im 2. Semester: ,,,,, | Po | Sp,Sf</v>
      </c>
      <c r="B90" s="81"/>
      <c r="C90" s="81">
        <f>M90</f>
        <v>7</v>
      </c>
      <c r="D90" s="82" t="str">
        <f t="shared" si="36"/>
        <v/>
      </c>
      <c r="I90" s="77">
        <f>IF(C90&gt;F!K20,1,0)</f>
        <v>0</v>
      </c>
      <c r="J90" s="76" t="str">
        <f>CONCATENATE(O40,",",O41,",",O42,",",O43,",",O44,",",O57,IF(O58="","",","),O58," | ",Y84," | Sp,Sf")</f>
        <v>,,,,, | Po | Sp,Sf</v>
      </c>
      <c r="M90" s="77">
        <f>$P$80+4</f>
        <v>7</v>
      </c>
    </row>
    <row r="91" spans="1:26" x14ac:dyDescent="0.25">
      <c r="A91" s="1" t="str">
        <f>CONCATENATE("Fächer im 3. Semester: ",J91)</f>
        <v>Fächer im 3. Semester: ,,,,, | Ge | Sp,Sf</v>
      </c>
      <c r="B91" s="81"/>
      <c r="C91" s="81">
        <f>M91</f>
        <v>7</v>
      </c>
      <c r="D91" s="82" t="str">
        <f t="shared" si="36"/>
        <v/>
      </c>
      <c r="I91" s="77">
        <f>IF(C91&gt;F!K21,1,0)</f>
        <v>0</v>
      </c>
      <c r="J91" s="76" t="str">
        <f>CONCATENATE(O40,",",O41,",",O42,",",O43,",",O44,",",O57,IF(O58="","",","),O58," | ",Z84," | Sp,Sf")</f>
        <v>,,,,, | Ge | Sp,Sf</v>
      </c>
      <c r="M91" s="77">
        <f>$Q$80+4</f>
        <v>7</v>
      </c>
    </row>
    <row r="92" spans="1:26" x14ac:dyDescent="0.25">
      <c r="A92" s="1" t="str">
        <f>CONCATENATE("Fächer im 4. Semester: ",J92)</f>
        <v>Fächer im 4. Semester: ,,,,, | Ge | Sp</v>
      </c>
      <c r="B92" s="81"/>
      <c r="C92" s="81">
        <f>M92</f>
        <v>5</v>
      </c>
      <c r="D92" s="82" t="str">
        <f t="shared" si="36"/>
        <v/>
      </c>
      <c r="I92" s="77">
        <f>IF(C92&gt;F!K22,1,0)</f>
        <v>0</v>
      </c>
      <c r="J92" s="76" t="str">
        <f>CONCATENATE(O40,",",O41,",",O42,",",O43,",",O44,",",O57,IF(O58="","",","),O58," | ",Z84," | Sp")</f>
        <v>,,,,, | Ge | Sp</v>
      </c>
      <c r="M92" s="77">
        <f>$Q$80+2</f>
        <v>5</v>
      </c>
    </row>
    <row r="93" spans="1:26" x14ac:dyDescent="0.25">
      <c r="B93" s="89" t="s">
        <v>224</v>
      </c>
      <c r="C93" s="81">
        <f>AVERAGE(C89:C92)</f>
        <v>6.5</v>
      </c>
      <c r="D93" s="82" t="str">
        <f t="shared" si="36"/>
        <v>f</v>
      </c>
      <c r="I93" s="77">
        <f>IF(C93&lt;F!M21,1,0)</f>
        <v>1</v>
      </c>
      <c r="M93" s="88"/>
    </row>
    <row r="96" spans="1:26" ht="18.75" x14ac:dyDescent="0.3">
      <c r="A96" s="78" t="s">
        <v>225</v>
      </c>
      <c r="B96" s="79"/>
      <c r="C96" s="80" t="str">
        <f>IF(SUM(I98)=0,"okay","")</f>
        <v/>
      </c>
    </row>
    <row r="97" spans="1:29" x14ac:dyDescent="0.25">
      <c r="A97" s="1" t="s">
        <v>226</v>
      </c>
    </row>
    <row r="98" spans="1:29" x14ac:dyDescent="0.25">
      <c r="A98" s="1" t="s">
        <v>293</v>
      </c>
      <c r="C98" s="57"/>
      <c r="D98" s="82" t="str">
        <f t="shared" ref="D98" si="37">IF(I98=1,"f","")</f>
        <v>f</v>
      </c>
      <c r="I98" s="77">
        <f>IF(C98="ja",0,1)</f>
        <v>1</v>
      </c>
    </row>
    <row r="100" spans="1:29" x14ac:dyDescent="0.25">
      <c r="A100" s="93" t="s">
        <v>229</v>
      </c>
    </row>
    <row r="101" spans="1:29" ht="45" customHeight="1" x14ac:dyDescent="0.25">
      <c r="A101" s="136"/>
      <c r="B101" s="137"/>
      <c r="C101" s="138"/>
      <c r="K101" s="112"/>
    </row>
    <row r="104" spans="1:29" ht="21.75" customHeight="1" x14ac:dyDescent="0.35">
      <c r="A104" s="113"/>
      <c r="B104" s="114" t="str">
        <f>IF(I104=0,"Alles fertig. Bitte als pdf speichern und hochladen.           ","Noch unvollständig oder Fehler vorhanden.              ")</f>
        <v xml:space="preserve">Noch unvollständig oder Fehler vorhanden.              </v>
      </c>
      <c r="C104" s="113"/>
      <c r="I104" s="77">
        <f>SUM($I$4:$I$98)</f>
        <v>36</v>
      </c>
      <c r="K104" s="75" t="str">
        <f ca="1">CONCATENATE(J10,K37,O40,O41,O42,O43,O44,O57,IF(O58="","xx",O58),"#ERG",O71,O72,O73,O74,O75,"#WAHL",O81,O82,O83,"#VN",J4,"#NN",J5,"#SF",L15,L16,L17,IF(B21="ja","#ATT",""),IF(C98&lt;&gt;"ja","#ERZ",""),IF(A101&lt;&gt;"","#KOM",""),"#SP",J24,J25,J26,J27,J30,J31,J32,J33,"#ALT",P40,P41,P42,P43,P44,P57,P58,"#DAT",TEXT(NOW(),"0,00000"))</f>
        <v>99999xx#ERGPoGe#WAHL#VN#NN#SF000#ERZ#SP00000000#ALTxxxxxxxxxxxxxx#DAT44970,34430</v>
      </c>
    </row>
    <row r="106" spans="1:29" x14ac:dyDescent="0.25">
      <c r="A106" s="1" t="str">
        <f ca="1">CONCATENATE("Erstellung: ",DAY(TODAY()),".",MONTH(TODAY()),".",YEAR(TODAY()),", ",TEXT(HOUR(NOW()),"00"),":",TEXT(MINUTE(NOW()),"00")," Uhr")</f>
        <v>Erstellung: 13.2.2023, 08:15 Uhr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9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</sheetData>
  <sheetProtection algorithmName="SHA-512" hashValue="YhgetJMNvxCcU+wmpde1znLcI3XLyylEgv2YfkgzHVjgrOJrdwZzyMNxDIXf7OZBiWehGQc42MZ5Mgdfy8xY4A==" saltValue="rvkdf+/0p2oRq05tgl3zAA==" spinCount="100000" sheet="1" selectLockedCells="1"/>
  <mergeCells count="1">
    <mergeCell ref="A101:C101"/>
  </mergeCells>
  <conditionalFormatting sqref="D4:D65">
    <cfRule type="expression" dxfId="16" priority="56">
      <formula>I4=1</formula>
    </cfRule>
  </conditionalFormatting>
  <conditionalFormatting sqref="D84">
    <cfRule type="expression" dxfId="15" priority="42">
      <formula>I84=1</formula>
    </cfRule>
  </conditionalFormatting>
  <conditionalFormatting sqref="A104:C104">
    <cfRule type="expression" dxfId="14" priority="28">
      <formula>$I$104=0</formula>
    </cfRule>
  </conditionalFormatting>
  <conditionalFormatting sqref="D71">
    <cfRule type="expression" dxfId="13" priority="18">
      <formula>I71=1</formula>
    </cfRule>
  </conditionalFormatting>
  <conditionalFormatting sqref="D73:D74">
    <cfRule type="expression" dxfId="12" priority="17">
      <formula>I73=1</formula>
    </cfRule>
  </conditionalFormatting>
  <conditionalFormatting sqref="D81:D83">
    <cfRule type="expression" dxfId="11" priority="16">
      <formula>I81=1</formula>
    </cfRule>
  </conditionalFormatting>
  <conditionalFormatting sqref="D89:D93">
    <cfRule type="expression" dxfId="10" priority="15">
      <formula>I89=1</formula>
    </cfRule>
  </conditionalFormatting>
  <conditionalFormatting sqref="D98">
    <cfRule type="expression" dxfId="9" priority="14">
      <formula>I98=1</formula>
    </cfRule>
  </conditionalFormatting>
  <conditionalFormatting sqref="A96:C96">
    <cfRule type="expression" dxfId="8" priority="9">
      <formula>$C96="okay"</formula>
    </cfRule>
  </conditionalFormatting>
  <conditionalFormatting sqref="A86:C86">
    <cfRule type="expression" dxfId="7" priority="8">
      <formula>$C86="okay"</formula>
    </cfRule>
  </conditionalFormatting>
  <conditionalFormatting sqref="A78:C78">
    <cfRule type="expression" dxfId="6" priority="7">
      <formula>$C78="okay"</formula>
    </cfRule>
  </conditionalFormatting>
  <conditionalFormatting sqref="A68:C68">
    <cfRule type="expression" dxfId="5" priority="6">
      <formula>$C68="okay"</formula>
    </cfRule>
  </conditionalFormatting>
  <conditionalFormatting sqref="A54:C54">
    <cfRule type="expression" dxfId="4" priority="5">
      <formula>$C54="okay"</formula>
    </cfRule>
  </conditionalFormatting>
  <conditionalFormatting sqref="A36:C36">
    <cfRule type="expression" dxfId="3" priority="4">
      <formula>$C36="okay"</formula>
    </cfRule>
  </conditionalFormatting>
  <conditionalFormatting sqref="A20:C20">
    <cfRule type="expression" dxfId="2" priority="3">
      <formula>$C20="okay"</formula>
    </cfRule>
  </conditionalFormatting>
  <conditionalFormatting sqref="A13:C13">
    <cfRule type="expression" dxfId="1" priority="2">
      <formula>$C13="okay"</formula>
    </cfRule>
  </conditionalFormatting>
  <conditionalFormatting sqref="A3:C3">
    <cfRule type="expression" dxfId="0" priority="1">
      <formula>$C3="okay"</formula>
    </cfRule>
  </conditionalFormatting>
  <dataValidations count="4">
    <dataValidation type="whole" allowBlank="1" showInputMessage="1" showErrorMessage="1" errorTitle="Falsche Schülernummer" error="Die Schülernummer muss 5-stellig sein" sqref="B10" xr:uid="{00000000-0002-0000-0100-000000000000}">
      <formula1>10000</formula1>
      <formula2>99999</formula2>
    </dataValidation>
    <dataValidation showInputMessage="1" showErrorMessage="1" sqref="D35" xr:uid="{00000000-0002-0000-0100-000001000000}"/>
    <dataValidation type="list" showInputMessage="1" showErrorMessage="1" sqref="C98" xr:uid="{392B00B1-0C38-49AB-A3B0-297F5CB81772}">
      <formula1>"ja"</formula1>
    </dataValidation>
    <dataValidation type="list" allowBlank="1" showInputMessage="1" showErrorMessage="1" sqref="B40:C44 B96 B86 B78 B57:C58 B68 B54" xr:uid="{13C03142-9E28-433E-B091-6876F59F4F73}">
      <formula1>INDIRECT("F!"&amp;$J$37&amp;$K40&amp;":"&amp;$J$37&amp;$L40)</formula1>
    </dataValidation>
  </dataValidations>
  <pageMargins left="0.70866141732283472" right="0.70866141732283472" top="0.78740157480314965" bottom="0.78740157480314965" header="0.31496062992125984" footer="0.31496062992125984"/>
  <pageSetup paperSize="9" scale="92" fitToWidth="0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6000000}">
          <x14:formula1>
            <xm:f>F!$I$18:$I$19</xm:f>
          </x14:formula1>
          <xm:sqref>B8</xm:sqref>
        </x14:dataValidation>
        <x14:dataValidation type="list" showInputMessage="1" showErrorMessage="1" xr:uid="{6FFCAE0D-0B38-4E67-9B12-E38AC8F0654D}">
          <x14:formula1>
            <xm:f>F!$A$25:$A$26</xm:f>
          </x14:formula1>
          <xm:sqref>B21</xm:sqref>
        </x14:dataValidation>
        <x14:dataValidation type="list" allowBlank="1" showInputMessage="1" showErrorMessage="1" xr:uid="{F5EBE489-9113-4EF6-A7F8-292119E8B9A8}">
          <x14:formula1>
            <xm:f>OFFSET(F!$M$33,0,F!$M$32,F!$N$32)</xm:f>
          </x14:formula1>
          <xm:sqref>B37</xm:sqref>
        </x14:dataValidation>
        <x14:dataValidation type="list" allowBlank="1" showInputMessage="1" showErrorMessage="1" xr:uid="{B703EAA8-5CDF-4B19-905C-EAC0297FC540}">
          <x14:formula1>
            <xm:f>OFFSET(F!$L$57,0,0,F!$L$56)</xm:f>
          </x14:formula1>
          <xm:sqref>C46</xm:sqref>
        </x14:dataValidation>
        <x14:dataValidation type="list" allowBlank="1" showInputMessage="1" showErrorMessage="1" xr:uid="{85CBBD13-A238-4E7D-8985-C944F01779F8}">
          <x14:formula1>
            <xm:f>OFFSET(F!$I$8,0,0,MATCH("",F!$I$8:$I$15,-1))</xm:f>
          </x14:formula1>
          <xm:sqref>B6</xm:sqref>
        </x14:dataValidation>
        <x14:dataValidation type="list" allowBlank="1" showInputMessage="1" showErrorMessage="1" xr:uid="{7663F065-0E36-48A4-8AFD-D8B1BB9A2D17}">
          <x14:formula1>
            <xm:f>OFFSET(F!$R$193,0,0,MATCH("",F!$R$193:$R$197,-1))</xm:f>
          </x14:formula1>
          <xm:sqref>B71</xm:sqref>
        </x14:dataValidation>
        <x14:dataValidation type="list" allowBlank="1" showInputMessage="1" showErrorMessage="1" xr:uid="{D47A92D1-020E-45B2-AE09-470E6E8AAB1D}">
          <x14:formula1>
            <xm:f>OFFSET(F!$R$202,0,0,MATCH("",F!$R$202:$R$206,-1))</xm:f>
          </x14:formula1>
          <xm:sqref>B74</xm:sqref>
        </x14:dataValidation>
        <x14:dataValidation type="list" allowBlank="1" showInputMessage="1" showErrorMessage="1" xr:uid="{9369AA8B-2E57-4BA7-B216-8F88DD5D2904}">
          <x14:formula1>
            <xm:f>OFFSET(F!$N$3,0,0,MATCH("",F!$N$3:$N$16,-1))</xm:f>
          </x14:formula1>
          <xm:sqref>B82</xm:sqref>
        </x14:dataValidation>
        <x14:dataValidation type="list" allowBlank="1" showInputMessage="1" showErrorMessage="1" xr:uid="{76395785-F61A-4BA7-AB39-1C5C45348427}">
          <x14:formula1>
            <xm:f>OFFSET(F!$M$3,0,0,MATCH("",F!$M$3:$M$16,-1))</xm:f>
          </x14:formula1>
          <xm:sqref>B81</xm:sqref>
        </x14:dataValidation>
        <x14:dataValidation type="list" allowBlank="1" showInputMessage="1" showErrorMessage="1" xr:uid="{420DAB5D-4709-42AC-B358-12A35497F414}">
          <x14:formula1>
            <xm:f>OFFSET(F!$O$3,0,0,MATCH("",F!$O$3:$O$16,-1))</xm:f>
          </x14:formula1>
          <xm:sqref>B83</xm:sqref>
        </x14:dataValidation>
        <x14:dataValidation type="list" allowBlank="1" showInputMessage="1" showErrorMessage="1" xr:uid="{9D418C01-CB54-451E-8C60-D36BF6B79F1F}">
          <x14:formula1>
            <xm:f>OFFSET(F!$K$8,0,0,MATCH("",F!$K$8:$K$15,-1))</xm:f>
          </x14:formula1>
          <xm:sqref>B7</xm:sqref>
        </x14:dataValidation>
        <x14:dataValidation type="list" allowBlank="1" showInputMessage="1" showErrorMessage="1" xr:uid="{35228E69-AA4F-4A08-8C48-D95F1D6803EC}">
          <x14:formula1>
            <xm:f>OFFSET(F!$F$42,0,0,MATCH("",F!$F$42:$F$53,-1))</xm:f>
          </x14:formula1>
          <xm:sqref>B24:B27</xm:sqref>
        </x14:dataValidation>
        <x14:dataValidation type="list" allowBlank="1" showInputMessage="1" showErrorMessage="1" xr:uid="{B4BBB14C-1D40-47F4-83F7-C0114380797A}">
          <x14:formula1>
            <xm:f>OFFSET(F!$F$54,0,0,MATCH("",F!$F$54:$F$65,-1))</xm:f>
          </x14:formula1>
          <xm:sqref>B30:B33</xm:sqref>
        </x14:dataValidation>
        <x14:dataValidation type="list" allowBlank="1" showInputMessage="1" showErrorMessage="1" xr:uid="{8176BB9D-AF64-49D1-BAF5-5A51E740D255}">
          <x14:formula1>
            <xm:f>OFFSET(F!$L$42,0,0,MATCH("",F!$L$42:$L$53,-1))</xm:f>
          </x14:formula1>
          <xm:sqref>B15:B17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</vt:lpstr>
      <vt:lpstr>Wahlbogen</vt:lpstr>
      <vt:lpstr>F!Druckbereich</vt:lpstr>
      <vt:lpstr>Wahlbogen!Druckbereich</vt:lpstr>
      <vt:lpstr>Wahlbogen!Print_Area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Fügener</dc:creator>
  <cp:lastModifiedBy>Fügener</cp:lastModifiedBy>
  <cp:lastPrinted>2023-02-11T14:35:19Z</cp:lastPrinted>
  <dcterms:created xsi:type="dcterms:W3CDTF">2018-12-20T20:00:40Z</dcterms:created>
  <dcterms:modified xsi:type="dcterms:W3CDTF">2023-02-13T07:16:03Z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